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worksheets/sheet4.xml" ContentType="application/vnd.openxmlformats-officedocument.spreadsheetml.worksheet+xml"/>
  <Override PartName="/xl/tables/table5.xml" ContentType="application/vnd.openxmlformats-officedocument.spreadsheetml.table+xml"/>
  <Override PartName="/xl/tables/table6.xml" ContentType="application/vnd.openxmlformats-officedocument.spreadsheetml.table+xml"/>
  <Override PartName="/xl/worksheets/sheet5.xml" ContentType="application/vnd.openxmlformats-officedocument.spreadsheetml.worksheet+xml"/>
  <Override PartName="/xl/tables/table7.xml" ContentType="application/vnd.openxmlformats-officedocument.spreadsheetml.table+xml"/>
  <Override PartName="/xl/worksheets/sheet6.xml" ContentType="application/vnd.openxmlformats-officedocument.spreadsheetml.worksheet+xml"/>
  <Override PartName="/xl/tables/table8.xml" ContentType="application/vnd.openxmlformats-officedocument.spreadsheetml.table+xml"/>
  <Override PartName="/xl/worksheets/sheet7.xml" ContentType="application/vnd.openxmlformats-officedocument.spreadsheetml.worksheet+xml"/>
  <Override PartName="/xl/tables/table9.xml" ContentType="application/vnd.openxmlformats-officedocument.spreadsheetml.table+xml"/>
  <Override PartName="/xl/tables/table10.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b04551192294826" /></Relationships>
</file>

<file path=xl/workbook.xml><?xml version="1.0" encoding="utf-8"?>
<x:workbook xmlns:x="http://schemas.openxmlformats.org/spreadsheetml/2006/main">
  <x:sheets>
    <x:sheet xmlns:r="http://schemas.openxmlformats.org/officeDocument/2006/relationships" name="Review" sheetId="1" r:id="R7ddec23c03a84391"/>
    <x:sheet xmlns:r="http://schemas.openxmlformats.org/officeDocument/2006/relationships" name="Findings" sheetId="2" r:id="R1adec0db0ddd45be"/>
    <x:sheet xmlns:r="http://schemas.openxmlformats.org/officeDocument/2006/relationships" name="Point review" sheetId="3" r:id="Re47bfff9d1a243a5"/>
    <x:sheet xmlns:r="http://schemas.openxmlformats.org/officeDocument/2006/relationships" name="Functions and settings" sheetId="4" r:id="Rf4afc6d33b534a32"/>
    <x:sheet xmlns:r="http://schemas.openxmlformats.org/officeDocument/2006/relationships" name="Point requirements" sheetId="5" r:id="R19a6ddf0ca4e4dde"/>
    <x:sheet xmlns:r="http://schemas.openxmlformats.org/officeDocument/2006/relationships" name="Config records" sheetId="6" r:id="R77643c2d2ad74e5a"/>
    <x:sheet xmlns:r="http://schemas.openxmlformats.org/officeDocument/2006/relationships" name="Sources" sheetId="7" r:id="R3d77b797121943c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yyyy-mm-dd hh:mm:ss"/>
    <x:numFmt numFmtId="202" formatCode="0&quot;  &quot;"/>
    <x:numFmt numFmtId="203" formatCode="yyyy-mm-dd hh:mm"/>
  </x:numFmts>
  <x:fonts count="9">
    <x:font>
      <x:sz val="11"/>
      <x:name val="Carlito"/>
    </x:font>
    <x:font>
      <x:sz val="11"/>
      <x:color rgb="FF334155"/>
      <x:name val="IBM Plex Sans"/>
    </x:font>
    <x:font>
      <x:b/>
      <x:sz val="18"/>
      <x:color rgb="FF0B1F33"/>
      <x:name val="IBM Plex Sans"/>
    </x:font>
    <x:font>
      <x:sz val="11"/>
      <x:color rgb="FF64748B"/>
      <x:name val="IBM Plex Sans"/>
    </x:font>
    <x:font>
      <x:b/>
      <x:sz val="11"/>
      <x:color rgb="FFFFFFFF"/>
      <x:name val="IBM Plex Sans"/>
    </x:font>
    <x:font>
      <x:sz val="11"/>
      <x:color rgb="FF334155"/>
      <x:name val="IBM Plex Mono"/>
    </x:font>
    <x:font>
      <x:b/>
      <x:sz val="12"/>
      <x:color rgb="FF0F766E"/>
      <x:name val="IBM Plex Sans"/>
    </x:font>
    <x:font>
      <x:b/>
      <x:sz val="12"/>
      <x:color rgb="FF0B1F33"/>
      <x:name val="IBM Plex Sans"/>
    </x:font>
    <x:font>
      <x:b/>
      <x:sz val="11"/>
      <x:color rgb="FF0F766E"/>
      <x:name val="IBM Plex Sans"/>
    </x:font>
  </x:fonts>
  <x:fills count="6">
    <x:fill>
      <x:patternFill patternType="none"/>
    </x:fill>
    <x:fill>
      <x:patternFill patternType="gray125"/>
    </x:fill>
    <x:fill>
      <x:patternFill patternType="solid">
        <x:fgColor rgb="FF0B1F33"/>
      </x:patternFill>
    </x:fill>
    <x:fill>
      <x:patternFill patternType="solid">
        <x:fgColor rgb="FFF8FAFC"/>
      </x:patternFill>
    </x:fill>
    <x:fill>
      <x:patternFill patternType="solid">
        <x:fgColor rgb="FFFFFFFF"/>
      </x:patternFill>
    </x:fill>
    <x:fill>
      <x:patternFill patternType="solid">
        <x:fgColor rgb="FFFFF2CC"/>
      </x:patternFill>
    </x:fill>
  </x:fills>
  <x:borders count="6">
    <x:border>
      <x:left/>
      <x:right/>
      <x:top/>
      <x:bottom/>
      <x:diagonal/>
    </x:border>
    <x:border>
      <x:left/>
      <x:right/>
      <x:top/>
      <x:bottom style="thin">
        <x:color rgb="FF0F766E"/>
      </x:bottom>
      <x:diagonal/>
    </x:border>
    <x:border>
      <x:left/>
      <x:right style="thin">
        <x:color rgb="FFFFFFFF"/>
      </x:right>
      <x:top/>
      <x:bottom style="thin">
        <x:color rgb="FFE2E8F0"/>
      </x:bottom>
      <x:diagonal/>
    </x:border>
    <x:border>
      <x:left style="thin">
        <x:color rgb="FFFFFFFF"/>
      </x:left>
      <x:right style="thin">
        <x:color rgb="FFFFFFFF"/>
      </x:right>
      <x:top/>
      <x:bottom style="thin">
        <x:color rgb="FFE2E8F0"/>
      </x:bottom>
      <x:diagonal/>
    </x:border>
    <x:border>
      <x:left style="thin">
        <x:color rgb="FFFFFFFF"/>
      </x:left>
      <x:right/>
      <x:top/>
      <x:bottom style="thin">
        <x:color rgb="FFE2E8F0"/>
      </x:bottom>
      <x:diagonal/>
    </x:border>
    <x:border>
      <x:left/>
      <x:right/>
      <x:top/>
      <x:bottom style="thin">
        <x:color rgb="FFE2E8F0"/>
      </x:bottom>
      <x:diagonal/>
    </x:border>
  </x:borders>
  <x:cellStyleXfs count="1">
    <x:xf numFmtId="0" fontId="0" fillId="0" borderId="0"/>
  </x:cellStyleXfs>
  <x:cellXfs count="5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4" xfId="0" applyNumberFormat="1" applyFont="1" applyFill="1" applyBorder="1" applyAlignment="1">
      <x:alignmen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1" fillId="3" borderId="5" xfId="0" applyNumberFormat="1" applyFont="1" applyFill="1" applyBorder="1" applyAlignment="1">
      <x:alignment vertical="center"/>
    </x:xf>
    <x:xf numFmtId="0" fontId="1" fillId="3" borderId="5"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5" xfId="0" applyNumberFormat="1" applyFont="1" applyFill="1" applyBorder="1" applyAlignment="1">
      <x:alignment vertical="center"/>
    </x:xf>
    <x:xf numFmtId="0" fontId="1" fillId="4" borderId="5" xfId="0" applyNumberFormat="1" applyFont="1" applyFill="1" applyBorder="1" applyAlignment="1">
      <x:alignment vertical="center" wrapText="1"/>
    </x:xf>
    <x:xf numFmtId="200" fontId="1" fillId="3" borderId="5" xfId="0" applyNumberFormat="1" applyFont="1" applyFill="1" applyBorder="1" applyAlignment="1">
      <x:alignment vertical="center" wrapText="1"/>
    </x:xf>
    <x:xf numFmtId="200" fontId="1" fillId="4" borderId="5" xfId="0" applyNumberFormat="1" applyFont="1" applyFill="1" applyBorder="1" applyAlignment="1">
      <x:alignment vertical="center" wrapText="1"/>
    </x:xf>
    <x:xf numFmtId="0" fontId="5" fillId="3" borderId="5" xfId="0" applyNumberFormat="1" applyFont="1" applyFill="1" applyBorder="1" applyAlignment="1">
      <x:alignment vertical="center" wrapText="1"/>
    </x:xf>
    <x:xf numFmtId="0" fontId="5" fillId="4" borderId="5"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3" borderId="5" xfId="0" applyNumberFormat="1" applyFont="1" applyFill="1" applyBorder="1" applyAlignment="1">
      <x:alignment horizontal="center" vertical="center" wrapText="1"/>
    </x:xf>
    <x:xf numFmtId="0" fontId="1" fillId="4" borderId="5" xfId="0" applyNumberFormat="1" applyFont="1" applyFill="1" applyBorder="1" applyAlignment="1">
      <x:alignment horizontal="center" vertical="center" wrapText="1"/>
    </x:xf>
    <x:xf numFmtId="201" fontId="1" fillId="4" borderId="5" xfId="0" applyNumberFormat="1" applyFont="1" applyFill="1" applyBorder="1" applyAlignment="1">
      <x:alignment vertical="center" wrapText="1"/>
    </x:xf>
    <x:xf numFmtId="201" fontId="1" fillId="3" borderId="5" xfId="0" applyNumberFormat="1" applyFont="1" applyFill="1" applyBorder="1" applyAlignment="1">
      <x:alignment vertical="center" wrapText="1"/>
    </x:xf>
    <x:xf numFmtId="0" fontId="1" fillId="5" borderId="5" xfId="0" applyNumberFormat="1" applyFont="1" applyFill="1" applyBorder="1" applyAlignment="1">
      <x:alignment vertical="center" wrapText="1"/>
    </x:xf>
    <x:xf numFmtId="202" fontId="1" fillId="3" borderId="5" xfId="0" applyNumberFormat="1" applyFont="1" applyFill="1" applyBorder="1" applyAlignment="1">
      <x:alignment vertical="center" wrapText="1"/>
    </x:xf>
    <x:xf numFmtId="202" fontId="1" fillId="4" borderId="5"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horizontal="center" vertical="center"/>
    </x:xf>
    <x:xf numFmtId="203"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201" fontId="1" fillId="0" borderId="0" xfId="0" applyNumberFormat="1" applyFont="1" applyFill="1" applyBorder="1" applyAlignment="1">
      <x:alignment horizontal="center" vertical="center"/>
    </x:xf>
    <x:xf numFmtId="0" fontId="1" fillId="3" borderId="0" xfId="0" applyNumberFormat="1" applyFont="1" applyFill="1" applyBorder="1" applyAlignment="1">
      <x:alignment vertical="center" wrapText="1"/>
    </x:xf>
    <x:xf numFmtId="0" fontId="7" fillId="3"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horizontal="center" vertical="center"/>
    </x:xf>
    <x:xf numFmtId="0" fontId="8"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4" borderId="0" xfId="0" applyNumberFormat="1" applyFont="1" applyFill="1" applyBorder="1" applyAlignment="1">
      <x:alignment vertical="center"/>
    </x:xf>
  </x:cellXfs>
  <x:cellStyles count="1">
    <x:cellStyle name="Normal" xfId="0"/>
  </x:cellStyles>
  <x:dxfs count="42">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
      <x:font>
        <x:b/>
        <x:color rgb="FFB25B30"/>
      </x:font>
      <x:fill>
        <x:patternFill patternType="solid">
          <x:bgColor rgb="FFFBECE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12813984f754673" /><Relationship Type="http://schemas.openxmlformats.org/officeDocument/2006/relationships/theme" Target="/xl/theme/theme1.xml" Id="Rf4bc1e9ab7184795" /><Relationship Type="http://schemas.openxmlformats.org/officeDocument/2006/relationships/sharedStrings" Target="/xl/sharedStrings.xml" Id="Ra78ab4515b7f4f2c" /><Relationship Type="http://schemas.openxmlformats.org/officeDocument/2006/relationships/worksheet" Target="/xl/worksheets/sheet1.xml" Id="R7ddec23c03a84391" /><Relationship Type="http://schemas.openxmlformats.org/officeDocument/2006/relationships/worksheet" Target="/xl/worksheets/sheet2.xml" Id="R1adec0db0ddd45be" /><Relationship Type="http://schemas.openxmlformats.org/officeDocument/2006/relationships/worksheet" Target="/xl/worksheets/sheet3.xml" Id="Re47bfff9d1a243a5" /><Relationship Type="http://schemas.openxmlformats.org/officeDocument/2006/relationships/worksheet" Target="/xl/worksheets/sheet4.xml" Id="Rf4afc6d33b534a32" /><Relationship Type="http://schemas.openxmlformats.org/officeDocument/2006/relationships/worksheet" Target="/xl/worksheets/sheet5.xml" Id="R19a6ddf0ca4e4dde" /><Relationship Type="http://schemas.openxmlformats.org/officeDocument/2006/relationships/worksheet" Target="/xl/worksheets/sheet6.xml" Id="R77643c2d2ad74e5a" /><Relationship Type="http://schemas.openxmlformats.org/officeDocument/2006/relationships/worksheet" Target="/xl/worksheets/sheet7.xml" Id="R3d77b797121943c2" /></Relationships>
</file>

<file path=xl/tables/table1.xml><?xml version="1.0" encoding="utf-8"?>
<x:table xmlns:x="http://schemas.openxmlformats.org/spreadsheetml/2006/main" id="7" name="FindingsV7" displayName="FindingsV7" ref="A6:F10" headerRowCount="1" totalsRowCount="0" totalsRowShown="0">
  <x:autoFilter ref="A6:F10"/>
  <x:tableColumns count="6">
    <x:tableColumn id="1" name="Finding"/>
    <x:tableColumn id="2" name="Item and issue"/>
    <x:tableColumn id="3" name="Initial evidence"/>
    <x:tableColumn id="4" name="Required action"/>
    <x:tableColumn id="5" name="Responsible role"/>
    <x:tableColumn id="6" name="Final result"/>
  </x:tableColumns>
  <x:tableStyleInfo name="TableStyleLight1" showFirstColumn="0" showLastColumn="0" showRowStripes="1" showColumnStripes="0"/>
</x:table>
</file>

<file path=xl/tables/table2.xml><?xml version="1.0" encoding="utf-8"?>
<x:table xmlns:x="http://schemas.openxmlformats.org/spreadsheetml/2006/main" id="8" name="EvidenceGatesV7" displayName="EvidenceGatesV7" ref="A14:F18" headerRowCount="1" totalsRowCount="0" totalsRowShown="0">
  <x:autoFilter ref="A14:F18"/>
  <x:tableColumns count="6">
    <x:tableColumn id="1" name="Finding"/>
    <x:tableColumn id="2" name="Revised sources received"/>
    <x:tableColumn id="3" name="Functional retest received"/>
    <x:tableColumn id="4" name="Approval received"/>
    <x:tableColumn id="5" name="Human evidence decision"/>
    <x:tableColumn id="6" name="Closure"/>
  </x:tableColumns>
  <x:tableStyleInfo name="TableStyleLight1" showFirstColumn="0" showLastColumn="0" showRowStripes="1" showColumnStripes="0"/>
</x:table>
</file>

<file path=xl/tables/table3.xml><?xml version="1.0" encoding="utf-8"?>
<x:table xmlns:x="http://schemas.openxmlformats.org/spreadsheetml/2006/main" id="5" name="PointReviewBaselineV7" displayName="PointReviewBaselineV7" ref="A6:N34" headerRowCount="1" totalsRowCount="0" totalsRowShown="0">
  <x:autoFilter ref="A6:N34"/>
  <x:tableColumns count="14">
    <x:tableColumn id="1" name="Point ID"/>
    <x:tableColumn id="2" name="Point name"/>
    <x:tableColumn id="3" name="Registration and type"/>
    <x:tableColumn id="4" name="Display"/>
    <x:tableColumn id="5" name="Graphic binding"/>
    <x:tableColumn id="6" name="Location"/>
    <x:tableColumn id="7" name="Access"/>
    <x:tableColumn id="8" name="Unit"/>
    <x:tableColumn id="9" name="State labels"/>
    <x:tableColumn id="10" name="Selected numeric value"/>
    <x:tableColumn id="11" name="Technical comparison"/>
    <x:tableColumn id="12" name="Finding"/>
    <x:tableColumn id="13" name="Review outcome"/>
    <x:tableColumn id="14" name="Trend source"/>
  </x:tableColumns>
  <x:tableStyleInfo name="TableStyleLight1" showFirstColumn="0" showLastColumn="0" showRowStripes="1" showColumnStripes="0"/>
</x:table>
</file>

<file path=xl/tables/table4.xml><?xml version="1.0" encoding="utf-8"?>
<x:table xmlns:x="http://schemas.openxmlformats.org/spreadsheetml/2006/main" id="6" name="PointReviewRecheckV7" displayName="PointReviewRecheckV7" ref="A39:N67" headerRowCount="1" totalsRowCount="0" totalsRowShown="0">
  <x:autoFilter ref="A39:N67"/>
  <x:tableColumns count="14">
    <x:tableColumn id="1" name="Point ID"/>
    <x:tableColumn id="2" name="Point name"/>
    <x:tableColumn id="3" name="Registration and type"/>
    <x:tableColumn id="4" name="Display"/>
    <x:tableColumn id="5" name="Graphic binding"/>
    <x:tableColumn id="6" name="Location"/>
    <x:tableColumn id="7" name="Access"/>
    <x:tableColumn id="8" name="Unit"/>
    <x:tableColumn id="9" name="State labels"/>
    <x:tableColumn id="10" name="Selected numeric value"/>
    <x:tableColumn id="11" name="Technical comparison"/>
    <x:tableColumn id="12" name="Finding"/>
    <x:tableColumn id="13" name="Review outcome"/>
    <x:tableColumn id="14" name="Trend source"/>
  </x:tableColumns>
  <x:tableStyleInfo name="TableStyleLight1" showFirstColumn="0" showLastColumn="0" showRowStripes="1" showColumnStripes="0"/>
</x:table>
</file>

<file path=xl/tables/table5.xml><?xml version="1.0" encoding="utf-8"?>
<x:table xmlns:x="http://schemas.openxmlformats.org/spreadsheetml/2006/main" id="9" name="FunctionReviewsV7" displayName="FunctionReviewsV7" ref="A6:F9" headerRowCount="1" totalsRowCount="0" totalsRowShown="0">
  <x:autoFilter ref="A6:F9"/>
  <x:tableColumns count="6">
    <x:tableColumn id="1" name="Item"/>
    <x:tableColumn id="2" name="Function"/>
    <x:tableColumn id="3" name="Initial review"/>
    <x:tableColumn id="4" name="Automated record checks"/>
    <x:tableColumn id="5" name="Human decision"/>
    <x:tableColumn id="6" name="Final record review"/>
  </x:tableColumns>
  <x:tableStyleInfo name="TableStyleLight1" showFirstColumn="0" showLastColumn="0" showRowStripes="1" showColumnStripes="0"/>
</x:table>
</file>

<file path=xl/tables/table6.xml><?xml version="1.0" encoding="utf-8"?>
<x:table xmlns:x="http://schemas.openxmlformats.org/spreadsheetml/2006/main" id="10" name="ParameterCatalogV7" displayName="ParameterCatalogV7" ref="A36:F39" headerRowCount="1" totalsRowCount="0" totalsRowShown="0">
  <x:autoFilter ref="A36:F39"/>
  <x:tableColumns count="6">
    <x:tableColumn id="1" name="Item"/>
    <x:tableColumn id="2" name="Setting"/>
    <x:tableColumn id="3" name="Value received"/>
    <x:tableColumn id="4" name="Assessment"/>
    <x:tableColumn id="5" name="Related review"/>
    <x:tableColumn id="6" name="Scope"/>
  </x:tableColumns>
  <x:tableStyleInfo name="TableStyleLight1" showFirstColumn="0" showLastColumn="0" showRowStripes="1" showColumnStripes="0"/>
</x:table>
</file>

<file path=xl/tables/table7.xml><?xml version="1.0" encoding="utf-8"?>
<x:table xmlns:x="http://schemas.openxmlformats.org/spreadsheetml/2006/main" id="3" name="PointRequirementsV7" displayName="PointRequirementsV7" ref="A6:O34" headerRowCount="1" totalsRowCount="0" totalsRowShown="0">
  <x:autoFilter ref="A6:O34"/>
  <x:tableColumns count="15">
    <x:tableColumn id="1" name="Point ID"/>
    <x:tableColumn id="2" name="Point name"/>
    <x:tableColumn id="3" name="Required source"/>
    <x:tableColumn id="4" name="Display required"/>
    <x:tableColumn id="5" name="Required location"/>
    <x:tableColumn id="6" name="Access"/>
    <x:tableColumn id="7" name="Unit"/>
    <x:tableColumn id="8" name="State labels"/>
    <x:tableColumn id="9" name="Initial target"/>
    <x:tableColumn id="10" name="Current target"/>
    <x:tableColumn id="11" name="Finding"/>
    <x:tableColumn id="12" name="Human decision"/>
    <x:tableColumn id="13" name="Source reference"/>
    <x:tableColumn id="14" name="Required trend source"/>
    <x:tableColumn id="15" name="Point type"/>
  </x:tableColumns>
  <x:tableStyleInfo name="TableStyleLight1" showFirstColumn="0" showLastColumn="0" showRowStripes="1" showColumnStripes="0"/>
</x:table>
</file>

<file path=xl/tables/table8.xml><?xml version="1.0" encoding="utf-8"?>
<x:table xmlns:x="http://schemas.openxmlformats.org/spreadsheetml/2006/main" id="4" name="ConfigRecordsV7" displayName="ConfigRecordsV7" ref="A6:N62" headerRowCount="1" totalsRowCount="0" totalsRowShown="0">
  <x:autoFilter ref="A6:N62"/>
  <x:tableColumns count="14">
    <x:tableColumn id="1" name="Record key"/>
    <x:tableColumn id="2" name="Point ID"/>
    <x:tableColumn id="3" name="Package"/>
    <x:tableColumn id="4" name="Registered source"/>
    <x:tableColumn id="5" name="Display present"/>
    <x:tableColumn id="6" name="Graphic source"/>
    <x:tableColumn id="7" name="Display location"/>
    <x:tableColumn id="8" name="Access"/>
    <x:tableColumn id="9" name="Unit"/>
    <x:tableColumn id="10" name="State labels"/>
    <x:tableColumn id="11" name="Recorded value"/>
    <x:tableColumn id="12" name="Source reference"/>
    <x:tableColumn id="13" name="Trend source"/>
    <x:tableColumn id="14" name="Recorded point type"/>
  </x:tableColumns>
  <x:tableStyleInfo name="TableStyleLight1" showFirstColumn="0" showLastColumn="0" showRowStripes="1" showColumnStripes="0"/>
</x:table>
</file>

<file path=xl/tables/table9.xml><?xml version="1.0" encoding="utf-8"?>
<x:table xmlns:x="http://schemas.openxmlformats.org/spreadsheetml/2006/main" id="1" name="SourceRegisterV7" displayName="SourceRegisterV7" ref="A6:F19" headerRowCount="1" totalsRowCount="0" totalsRowShown="0">
  <x:autoFilter ref="A6:F19"/>
  <x:tableColumns count="6">
    <x:tableColumn id="1" name="Document ID"/>
    <x:tableColumn id="2" name="Document"/>
    <x:tableColumn id="3" name="Purpose"/>
    <x:tableColumn id="4" name="Revision"/>
    <x:tableColumn id="5" name="Issued"/>
    <x:tableColumn id="6" name="Received"/>
  </x:tableColumns>
  <x:tableStyleInfo name="TableStyleLight1" showFirstColumn="0" showLastColumn="0" showRowStripes="1" showColumnStripes="0"/>
</x:table>
</file>

<file path=xl/tables/table10.xml><?xml version="1.0" encoding="utf-8"?>
<x:table xmlns:x="http://schemas.openxmlformats.org/spreadsheetml/2006/main" id="2" name="EvidenceRecordsV7" displayName="EvidenceRecordsV7" ref="A22:D65" headerRowCount="1" totalsRowCount="0" totalsRowShown="0">
  <x:autoFilter ref="A22:D65"/>
  <x:tableColumns count="4">
    <x:tableColumn id="1" name="Record reference"/>
    <x:tableColumn id="2" name="Subject"/>
    <x:tableColumn id="3" name="Recorded value"/>
    <x:tableColumn id="4" name="Unit"/>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ab07c7576644651" /><Relationship Type="http://schemas.openxmlformats.org/officeDocument/2006/relationships/table" Target="/xl/tables/table2.xml" Id="Rc39b2c6aba0342a9" /></Relationships>
</file>

<file path=xl/worksheets/_rels/sheet3.xml.rels>&#65279;<?xml version="1.0" encoding="utf-8"?><Relationships xmlns="http://schemas.openxmlformats.org/package/2006/relationships"><Relationship Type="http://schemas.openxmlformats.org/officeDocument/2006/relationships/table" Target="/xl/tables/table3.xml" Id="R56c35361626242b7" /><Relationship Type="http://schemas.openxmlformats.org/officeDocument/2006/relationships/table" Target="/xl/tables/table4.xml" Id="R89af56d7c2c84a74" /></Relationships>
</file>

<file path=xl/worksheets/_rels/sheet4.xml.rels>&#65279;<?xml version="1.0" encoding="utf-8"?><Relationships xmlns="http://schemas.openxmlformats.org/package/2006/relationships"><Relationship Type="http://schemas.openxmlformats.org/officeDocument/2006/relationships/table" Target="/xl/tables/table5.xml" Id="R7024a69a8a584111" /><Relationship Type="http://schemas.openxmlformats.org/officeDocument/2006/relationships/table" Target="/xl/tables/table6.xml" Id="Rbc6326f41cd64d7c" /></Relationships>
</file>

<file path=xl/worksheets/_rels/sheet5.xml.rels>&#65279;<?xml version="1.0" encoding="utf-8"?><Relationships xmlns="http://schemas.openxmlformats.org/package/2006/relationships"><Relationship Type="http://schemas.openxmlformats.org/officeDocument/2006/relationships/table" Target="/xl/tables/table7.xml" Id="R5eb3f953490e4cb3" /></Relationships>
</file>

<file path=xl/worksheets/_rels/sheet6.xml.rels>&#65279;<?xml version="1.0" encoding="utf-8"?><Relationships xmlns="http://schemas.openxmlformats.org/package/2006/relationships"><Relationship Type="http://schemas.openxmlformats.org/officeDocument/2006/relationships/table" Target="/xl/tables/table8.xml" Id="R9d72fb1edfb64d97" /></Relationships>
</file>

<file path=xl/worksheets/_rels/sheet7.xml.rels>&#65279;<?xml version="1.0" encoding="utf-8"?><Relationships xmlns="http://schemas.openxmlformats.org/package/2006/relationships"><Relationship Type="http://schemas.openxmlformats.org/officeDocument/2006/relationships/table" Target="/xl/tables/table9.xml" Id="R18a5a8c3188d4066" /><Relationship Type="http://schemas.openxmlformats.org/officeDocument/2006/relationships/table" Target="/xl/tables/table10.xml" Id="R3cc967576cca4bc0" /></Relationships>
</file>

<file path=xl/worksheets/sheet1.xml><?xml version="1.0" encoding="utf-8"?>
<x:worksheet xmlns:x="http://schemas.openxmlformats.org/spreadsheetml/2006/main">
  <x:sheetPr>
    <x:tabColor rgb="FF0B1F33"/>
  </x:sheetPr>
  <x:sheetViews>
    <x:sheetView showGridLines="0" workbookViewId="0"/>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s>
  <x:sheetData>
    <x:row r="1" ht="25" customHeight="1">
      <x:c r="A1" s="2"/>
      <x:c r="B1" s="2"/>
      <x:c r="C1" s="2"/>
      <x:c r="D1" s="2"/>
      <x:c r="E1" s="2"/>
      <x:c r="F1" s="2"/>
      <x:c r="G1" s="2"/>
      <x:c r="H1" s="2"/>
    </x:row>
    <x:row r="2" ht="37" customHeight="1">
      <x:c r="A2" s="4" t="str">
        <x:v>AHU handover review</x:v>
      </x:c>
      <x:c r="B2" s="4" t="str">
        <x:v>AHU handover review</x:v>
      </x:c>
      <x:c r="C2" s="4" t="str">
        <x:v>AHU handover review</x:v>
      </x:c>
      <x:c r="D2" s="4" t="str">
        <x:v>AHU handover review</x:v>
      </x:c>
      <x:c r="E2" s="4" t="str">
        <x:v>AHU handover review</x:v>
      </x:c>
      <x:c r="F2" s="4" t="str">
        <x:v>AHU handover review</x:v>
      </x:c>
      <x:c r="G2" s="4" t="str">
        <x:v>AHU handover review</x:v>
      </x:c>
      <x:c r="H2" s="4" t="str">
        <x:v>AHU handover review</x:v>
      </x:c>
    </x:row>
    <x:row r="3" ht="7" customHeight="1">
      <x:c r="A3" s="5"/>
      <x:c r="B3" s="5"/>
      <x:c r="C3" s="5"/>
      <x:c r="D3" s="5"/>
      <x:c r="E3" s="5"/>
      <x:c r="F3" s="5"/>
      <x:c r="G3" s="5"/>
      <x:c r="H3" s="5"/>
    </x:row>
    <x:row r="4" ht="30" customHeight="1">
      <x:c r="A4" s="7" t="str">
        <x:v>Sample 02 / Version 13.0. Fictional client request and synthetic records. AHU-02. Final record recheck: 10 October 2026.</x:v>
      </x:c>
      <x:c r="B4" s="7" t="str">
        <x:v>Sample 02 / Version 13.0. Fictional client request and synthetic records. AHU-02. Final record recheck: 10 October 2026.</x:v>
      </x:c>
      <x:c r="C4" s="7" t="str">
        <x:v>Sample 02 / Version 13.0. Fictional client request and synthetic records. AHU-02. Final record recheck: 10 October 2026.</x:v>
      </x:c>
      <x:c r="D4" s="7" t="str">
        <x:v>Sample 02 / Version 13.0. Fictional client request and synthetic records. AHU-02. Final record recheck: 10 October 2026.</x:v>
      </x:c>
      <x:c r="E4" s="7" t="str">
        <x:v>Sample 02 / Version 13.0. Fictional client request and synthetic records. AHU-02. Final record recheck: 10 October 2026.</x:v>
      </x:c>
      <x:c r="F4" s="7" t="str">
        <x:v>Sample 02 / Version 13.0. Fictional client request and synthetic records. AHU-02. Final record recheck: 10 October 2026.</x:v>
      </x:c>
      <x:c r="G4" s="7" t="str">
        <x:v>Sample 02 / Version 13.0. Fictional client request and synthetic records. AHU-02. Final record recheck: 10 October 2026.</x:v>
      </x:c>
      <x:c r="H4" s="7" t="str">
        <x:v>Sample 02 / Version 13.0. Fictional client request and synthetic records. AHU-02. Final record recheck: 10 October 2026.</x:v>
      </x:c>
    </x:row>
    <x:row r="5" ht="25" customHeight="1">
      <x:c r="A5" s="2"/>
      <x:c r="B5" s="2"/>
      <x:c r="C5" s="2"/>
      <x:c r="D5" s="2"/>
      <x:c r="E5" s="2"/>
      <x:c r="F5" s="2"/>
      <x:c r="G5" s="2"/>
      <x:c r="H5" s="2"/>
    </x:row>
    <x:row r="6" ht="30" customHeight="1">
      <x:c r="A6" s="30" t="str">
        <x:v>Client request</x:v>
      </x:c>
      <x:c r="B6" s="30" t="str">
        <x:v>Client request</x:v>
      </x:c>
      <x:c r="C6" s="30" t="str">
        <x:v>Client request</x:v>
      </x:c>
      <x:c r="D6" s="30" t="str">
        <x:v>Client request</x:v>
      </x:c>
      <x:c r="E6" s="30" t="str">
        <x:v>Client request</x:v>
      </x:c>
      <x:c r="F6" s="30" t="str">
        <x:v>Client request</x:v>
      </x:c>
      <x:c r="G6" s="30" t="str">
        <x:v>Client request</x:v>
      </x:c>
      <x:c r="H6" s="30" t="str">
        <x:v>Client request</x:v>
      </x:c>
    </x:row>
    <x:row r="7" ht="26" customHeight="1">
      <x:c r="A7" s="43" t="str">
        <x:v>Before handover, compare the point register, BMS graphics and configuration, control sequence, O&amp;M manual and test records. Identify discrepancies, confirm their intent and document the corrections and evidence required.</x:v>
      </x:c>
      <x:c r="B7" s="43" t="str">
        <x:v>Before handover, compare the point register, BMS graphics and configuration, control sequence, O&amp;M manual and test records. Identify discrepancies, confirm their intent and document the corrections and evidence required.</x:v>
      </x:c>
      <x:c r="C7" s="43" t="str">
        <x:v>Before handover, compare the point register, BMS graphics and configuration, control sequence, O&amp;M manual and test records. Identify discrepancies, confirm their intent and document the corrections and evidence required.</x:v>
      </x:c>
      <x:c r="D7" s="43" t="str">
        <x:v>Before handover, compare the point register, BMS graphics and configuration, control sequence, O&amp;M manual and test records. Identify discrepancies, confirm their intent and document the corrections and evidence required.</x:v>
      </x:c>
      <x:c r="E7" s="43" t="str">
        <x:v>Before handover, compare the point register, BMS graphics and configuration, control sequence, O&amp;M manual and test records. Identify discrepancies, confirm their intent and document the corrections and evidence required.</x:v>
      </x:c>
      <x:c r="F7" s="43" t="str">
        <x:v>Before handover, compare the point register, BMS graphics and configuration, control sequence, O&amp;M manual and test records. Identify discrepancies, confirm their intent and document the corrections and evidence required.</x:v>
      </x:c>
      <x:c r="G7" s="43" t="str">
        <x:v>Before handover, compare the point register, BMS graphics and configuration, control sequence, O&amp;M manual and test records. Identify discrepancies, confirm their intent and document the corrections and evidence required.</x:v>
      </x:c>
      <x:c r="H7" s="43" t="str">
        <x:v>Before handover, compare the point register, BMS graphics and configuration, control sequence, O&amp;M manual and test records. Identify discrepancies, confirm their intent and document the corrections and evidence required.</x:v>
      </x:c>
    </x:row>
    <x:row r="8" ht="26" customHeight="1">
      <x:c r="A8" s="43" t="str">
        <x:v>Before handover, compare the point register, BMS graphics and configuration, control sequence, O&amp;M manual and test records. Identify discrepancies, confirm their intent and document the corrections and evidence required.</x:v>
      </x:c>
      <x:c r="B8" s="43" t="str">
        <x:v>Before handover, compare the point register, BMS graphics and configuration, control sequence, O&amp;M manual and test records. Identify discrepancies, confirm their intent and document the corrections and evidence required.</x:v>
      </x:c>
      <x:c r="C8" s="43" t="str">
        <x:v>Before handover, compare the point register, BMS graphics and configuration, control sequence, O&amp;M manual and test records. Identify discrepancies, confirm their intent and document the corrections and evidence required.</x:v>
      </x:c>
      <x:c r="D8" s="43" t="str">
        <x:v>Before handover, compare the point register, BMS graphics and configuration, control sequence, O&amp;M manual and test records. Identify discrepancies, confirm their intent and document the corrections and evidence required.</x:v>
      </x:c>
      <x:c r="E8" s="43" t="str">
        <x:v>Before handover, compare the point register, BMS graphics and configuration, control sequence, O&amp;M manual and test records. Identify discrepancies, confirm their intent and document the corrections and evidence required.</x:v>
      </x:c>
      <x:c r="F8" s="43" t="str">
        <x:v>Before handover, compare the point register, BMS graphics and configuration, control sequence, O&amp;M manual and test records. Identify discrepancies, confirm their intent and document the corrections and evidence required.</x:v>
      </x:c>
      <x:c r="G8" s="43" t="str">
        <x:v>Before handover, compare the point register, BMS graphics and configuration, control sequence, O&amp;M manual and test records. Identify discrepancies, confirm their intent and document the corrections and evidence required.</x:v>
      </x:c>
      <x:c r="H8" s="43" t="str">
        <x:v>Before handover, compare the point register, BMS graphics and configuration, control sequence, O&amp;M manual and test records. Identify discrepancies, confirm their intent and document the corrections and evidence required.</x:v>
      </x:c>
    </x:row>
    <x:row r="9" ht="25" customHeight="1">
      <x:c r="A9" s="2"/>
      <x:c r="B9" s="2"/>
      <x:c r="C9" s="2"/>
      <x:c r="D9" s="2"/>
      <x:c r="E9" s="2"/>
      <x:c r="F9" s="2"/>
      <x:c r="G9" s="2"/>
      <x:c r="H9" s="2"/>
    </x:row>
    <x:row r="10" ht="30" customHeight="1">
      <x:c r="A10" s="30" t="str">
        <x:v>Review conclusion</x:v>
      </x:c>
      <x:c r="B10" s="30" t="str">
        <x:v>Review conclusion</x:v>
      </x:c>
      <x:c r="C10" s="30" t="str">
        <x:v>Review conclusion</x:v>
      </x:c>
      <x:c r="D10" s="30" t="str">
        <x:v>Review conclusion</x:v>
      </x:c>
      <x:c r="E10" s="30" t="str">
        <x:v>Review conclusion</x:v>
      </x:c>
      <x:c r="F10" s="30" t="str">
        <x:v>Review conclusion</x:v>
      </x:c>
      <x:c r="G10" s="30" t="str">
        <x:v>Review conclusion</x:v>
      </x:c>
      <x:c r="H10" s="30" t="str">
        <x:v>Review conclusion</x:v>
      </x:c>
    </x:row>
    <x:row r="11" ht="28" customHeight="1">
      <x:c r="A11" s="45" t="str">
        <x:f>IF(E23="Reconciled in supplied records","The "&amp;TEXT(Findings!C35,"0")&amp;"°C SAT setpoint is an approved operating change. Retain this value and align the documents. The SAT graphic reference, read-only status display and supply-fan monitoring evidence are reconciled in the supplied records.",IF(COUNTIFS(Findings!$A$15:$A$18,"F03",Findings!$F$15:$F$18,"Reconciled")=1,"The SAT setpoint change is confirmed. Other required record checks remain open. Review the outstanding items before completing this report.","The SAT setpoint approval or supporting evidence is not yet confirmed. Check the approval, scope and document consistency before deciding the correction."))</x:f>
        <x:v>The 22°C SAT setpoint is an approved operating change. Retain this value and align the documents. The SAT graphic reference, read-only status display and supply-fan monitoring evidence are reconciled in the supplied records.</x:v>
      </x:c>
      <x:c r="B11" s="45" t="str"/>
      <x:c r="C11" s="45" t="str"/>
      <x:c r="D11" s="45" t="str"/>
      <x:c r="E11" s="45" t="str"/>
      <x:c r="F11" s="45" t="str"/>
      <x:c r="G11" s="45" t="str"/>
      <x:c r="H11" s="45" t="str"/>
    </x:row>
    <x:row r="12" ht="28" customHeight="1">
      <x:c r="A12" s="45" t="str"/>
      <x:c r="B12" s="45" t="str"/>
      <x:c r="C12" s="45" t="str"/>
      <x:c r="D12" s="45" t="str"/>
      <x:c r="E12" s="45" t="str"/>
      <x:c r="F12" s="45" t="str"/>
      <x:c r="G12" s="45" t="str"/>
      <x:c r="H12" s="45" t="str"/>
    </x:row>
    <x:row r="13" ht="25" customHeight="1">
      <x:c r="A13" s="2"/>
      <x:c r="B13" s="2"/>
      <x:c r="C13" s="2"/>
      <x:c r="D13" s="2"/>
      <x:c r="E13" s="2"/>
      <x:c r="F13" s="2"/>
      <x:c r="G13" s="2"/>
      <x:c r="H13" s="2"/>
    </x:row>
    <x:row r="14" ht="32" customHeight="1">
      <x:c r="A14" s="48" t="str">
        <x:v>Review measure</x:v>
      </x:c>
      <x:c r="B14" s="48" t="str">
        <x:v>Review measure</x:v>
      </x:c>
      <x:c r="C14" s="48" t="str">
        <x:v>Review measure</x:v>
      </x:c>
      <x:c r="D14" s="48" t="str">
        <x:v>Review measure</x:v>
      </x:c>
      <x:c r="E14" s="48" t="str">
        <x:v>Initial package</x:v>
      </x:c>
      <x:c r="F14" s="48" t="str">
        <x:v>Initial package</x:v>
      </x:c>
      <x:c r="G14" s="48" t="str">
        <x:v>Final record recheck</x:v>
      </x:c>
      <x:c r="H14" s="48" t="str">
        <x:v>Final record recheck</x:v>
      </x:c>
    </x:row>
    <x:row r="15" ht="29" customHeight="1">
      <x:c r="A15" s="43" t="str">
        <x:v>Registered sources and types aligned</x:v>
      </x:c>
      <x:c r="B15" s="43" t="str">
        <x:v>Registered sources and types aligned</x:v>
      </x:c>
      <x:c r="C15" s="43" t="str">
        <x:v>Registered sources and types aligned</x:v>
      </x:c>
      <x:c r="D15" s="43" t="str">
        <x:v>Registered sources and types aligned</x:v>
      </x:c>
      <x:c r="E15" s="49" t="n">
        <x:f>COUNTIFS('Point review'!$C$7:$C$34,"Aligned")</x:f>
        <x:v>28</x:v>
      </x:c>
      <x:c r="F15" s="49"/>
      <x:c r="G15" s="49" t="n">
        <x:f>COUNTIFS('Point review'!$C$40:$C$67,"Aligned")</x:f>
        <x:v>28</x:v>
      </x:c>
      <x:c r="H15" s="49"/>
    </x:row>
    <x:row r="16" ht="29" customHeight="1">
      <x:c r="A16" s="50" t="str">
        <x:v>Required displays present</x:v>
      </x:c>
      <x:c r="B16" s="50" t="str">
        <x:v>Required displays present</x:v>
      </x:c>
      <x:c r="C16" s="50" t="str">
        <x:v>Required displays present</x:v>
      </x:c>
      <x:c r="D16" s="50" t="str">
        <x:v>Required displays present</x:v>
      </x:c>
      <x:c r="E16" s="51" t="str">
        <x:f>IF(COUNTIFS('Point requirements'!$D$7:$D$34,"Yes")+COUNTIFS('Point requirements'!$D$7:$D$34,"No")&lt;&gt;28,"Requirements incomplete",COUNTIFS('Point review'!$D$7:$D$34,"Aligned")&amp;" / "&amp;COUNTIFS('Point requirements'!$D$7:$D$34,"Yes"))</x:f>
        <x:v>27 / 28</x:v>
      </x:c>
      <x:c r="F16" s="51"/>
      <x:c r="G16" s="51" t="str">
        <x:f>IF(COUNTIFS('Point requirements'!$D$7:$D$34,"Yes")+COUNTIFS('Point requirements'!$D$7:$D$34,"No")&lt;&gt;28,"Requirements incomplete",COUNTIFS('Point review'!$D$40:$D$67,"Aligned")&amp;" / "&amp;COUNTIFS('Point requirements'!$D$7:$D$34,"Yes"))</x:f>
        <x:v>28 / 28</x:v>
      </x:c>
      <x:c r="H16" s="51"/>
    </x:row>
    <x:row r="17" ht="29" customHeight="1">
      <x:c r="A17" s="43" t="str">
        <x:v>Correct required graphic bindings</x:v>
      </x:c>
      <x:c r="B17" s="43" t="str">
        <x:v>Correct required graphic bindings</x:v>
      </x:c>
      <x:c r="C17" s="43" t="str">
        <x:v>Correct required graphic bindings</x:v>
      </x:c>
      <x:c r="D17" s="43" t="str">
        <x:v>Correct required graphic bindings</x:v>
      </x:c>
      <x:c r="E17" s="49" t="str">
        <x:f>IF(COUNTIFS('Point requirements'!$D$7:$D$34,"Yes")+COUNTIFS('Point requirements'!$D$7:$D$34,"No")&lt;&gt;28,"Requirements incomplete",COUNTIFS('Point review'!$E$7:$E$34,"Aligned")&amp;" / "&amp;COUNTIFS('Point requirements'!$D$7:$D$34,"Yes"))</x:f>
        <x:v>26 / 28</x:v>
      </x:c>
      <x:c r="F17" s="49"/>
      <x:c r="G17" s="49" t="str">
        <x:f>IF(COUNTIFS('Point requirements'!$D$7:$D$34,"Yes")+COUNTIFS('Point requirements'!$D$7:$D$34,"No")&lt;&gt;28,"Requirements incomplete",COUNTIFS('Point review'!$E$40:$E$67,"Aligned")&amp;" / "&amp;COUNTIFS('Point requirements'!$D$7:$D$34,"Yes"))</x:f>
        <x:v>28 / 28</x:v>
      </x:c>
      <x:c r="H17" s="49"/>
    </x:row>
    <x:row r="18" ht="29" customHeight="1">
      <x:c r="A18" s="50" t="str">
        <x:v>Points without an open review item</x:v>
      </x:c>
      <x:c r="B18" s="50" t="str">
        <x:v>Points without an open review item</x:v>
      </x:c>
      <x:c r="C18" s="50" t="str">
        <x:v>Points without an open review item</x:v>
      </x:c>
      <x:c r="D18" s="50" t="str">
        <x:v>Points without an open review item</x:v>
      </x:c>
      <x:c r="E18" s="51" t="n">
        <x:f>COUNTIFS('Point review'!$M$7:$M$34,"Aligned")</x:f>
        <x:v>25</x:v>
      </x:c>
      <x:c r="F18" s="51"/>
      <x:c r="G18" s="51" t="n">
        <x:f>COUNTIFS('Point review'!$M$40:$M$67,"Reconciled")</x:f>
        <x:v>28</x:v>
      </x:c>
      <x:c r="H18" s="51"/>
    </x:row>
    <x:row r="19" ht="29" customHeight="1">
      <x:c r="A19" s="43" t="str">
        <x:v>Point follow-ups</x:v>
      </x:c>
      <x:c r="B19" s="43" t="str">
        <x:v>Point follow-ups</x:v>
      </x:c>
      <x:c r="C19" s="43" t="str">
        <x:v>Point follow-ups</x:v>
      </x:c>
      <x:c r="D19" s="43" t="str">
        <x:v>Point follow-ups</x:v>
      </x:c>
      <x:c r="E19" s="49" t="n">
        <x:f>COUNTIFS(Findings!$A$15:$A$18,"F01")+COUNTIFS(Findings!$A$15:$A$18,"F02")+COUNTIFS(Findings!$A$15:$A$18,"F03")</x:f>
        <x:v>3</x:v>
      </x:c>
      <x:c r="F19" s="49"/>
      <x:c r="G19" s="49" t="n">
        <x:f>COUNTIFS(Findings!$A$15:$A$18,"F01",Findings!$F$15:$F$18,"Open")+COUNTIFS(Findings!$A$15:$A$18,"F02",Findings!$F$15:$F$18,"Open")+COUNTIFS(Findings!$A$15:$A$18,"F03",Findings!$F$15:$F$18,"Open")</x:f>
        <x:v>0</x:v>
      </x:c>
      <x:c r="H19" s="49"/>
    </x:row>
    <x:row r="20" ht="29" customHeight="1">
      <x:c r="A20" s="50" t="str">
        <x:v>Monitoring-function follow-ups</x:v>
      </x:c>
      <x:c r="B20" s="50" t="str">
        <x:v>Monitoring-function follow-ups</x:v>
      </x:c>
      <x:c r="C20" s="50" t="str">
        <x:v>Monitoring-function follow-ups</x:v>
      </x:c>
      <x:c r="D20" s="50" t="str">
        <x:v>Monitoring-function follow-ups</x:v>
      </x:c>
      <x:c r="E20" s="51" t="n">
        <x:f>COUNTIFS(Findings!$A$15:$A$18,"F04")</x:f>
        <x:v>1</x:v>
      </x:c>
      <x:c r="F20" s="51"/>
      <x:c r="G20" s="51" t="n">
        <x:f>COUNTIFS(Findings!$A$15:$A$18,"F04",Findings!$F$15:$F$18,"Open")</x:f>
        <x:v>0</x:v>
      </x:c>
      <x:c r="H20" s="51"/>
    </x:row>
    <x:row r="21" ht="29" customHeight="1">
      <x:c r="A21" s="43" t="str">
        <x:v>Total follow-ups</x:v>
      </x:c>
      <x:c r="B21" s="43" t="str">
        <x:v>Total follow-ups</x:v>
      </x:c>
      <x:c r="C21" s="43" t="str">
        <x:v>Total follow-ups</x:v>
      </x:c>
      <x:c r="D21" s="43" t="str">
        <x:v>Total follow-ups</x:v>
      </x:c>
      <x:c r="E21" s="49" t="n">
        <x:f>SUM(E19,E20)</x:f>
        <x:v>4</x:v>
      </x:c>
      <x:c r="F21" s="49"/>
      <x:c r="G21" s="49" t="n">
        <x:f>SUM(G19,G20)</x:f>
        <x:v>0</x:v>
      </x:c>
      <x:c r="H21" s="49"/>
    </x:row>
    <x:row r="22" ht="29" customHeight="1">
      <x:c r="A22" s="50" t="str">
        <x:v>Function records reviewed</x:v>
      </x:c>
      <x:c r="B22" s="50" t="str">
        <x:v>Function records reviewed</x:v>
      </x:c>
      <x:c r="C22" s="50" t="str">
        <x:v>Function records reviewed</x:v>
      </x:c>
      <x:c r="D22" s="50" t="str">
        <x:v>Function records reviewed</x:v>
      </x:c>
      <x:c r="E22" s="51" t="str">
        <x:f>COUNTIFS('Functions and settings'!$C$7:$C$9,"Aligned in records")&amp;" / "&amp;COUNTA('Functions and settings'!$A$7:$A$9)</x:f>
        <x:v>2 / 3</x:v>
      </x:c>
      <x:c r="F22" s="51"/>
      <x:c r="G22" s="51" t="str">
        <x:f>(COUNTIFS('Functions and settings'!$F$7:$F$9,"Aligned in records")+COUNTIFS('Functions and settings'!$F$7:$F$9,"Reconciled"))&amp;" / "&amp;COUNTA('Functions and settings'!$A$7:$A$9)</x:f>
        <x:v>3 / 3</x:v>
      </x:c>
      <x:c r="H22" s="51"/>
    </x:row>
    <x:row r="23" ht="34" customHeight="1">
      <x:c r="A23" s="38" t="str">
        <x:v>Defined record-review status</x:v>
      </x:c>
      <x:c r="B23" s="38" t="str">
        <x:v>Defined record-review status</x:v>
      </x:c>
      <x:c r="C23" s="38" t="str">
        <x:v>Defined record-review status</x:v>
      </x:c>
      <x:c r="D23" s="38" t="str">
        <x:v>Defined record-review status</x:v>
      </x:c>
      <x:c r="E23" s="52" t="str">
        <x:f>IF(AND(COUNTIFS('Point review'!$M$40:$M$67,"Reconciled")=ROWS('Point requirements'!$A$7:$A$34),COUNTA('Point requirements'!$A$7:$A$34)=28,COUNTIFS(Findings!$F$15:$F$18,"Reconciled")=COUNTA(Findings!$A$15:$A$18),COUNTIFS('Functions and settings'!$F$7:$F$9,"Reconciled")+COUNTIFS('Functions and settings'!$F$7:$F$9,"Aligned in records")=COUNTA('Functions and settings'!$A$7:$A$9)),"Reconciled in supplied records","Review required")</x:f>
        <x:v>Reconciled in supplied records</x:v>
      </x:c>
      <x:c r="F23" s="52"/>
      <x:c r="G23" s="52"/>
      <x:c r="H23" s="52"/>
    </x:row>
    <x:row r="24" ht="25" customHeight="1">
      <x:c r="A24" s="2"/>
      <x:c r="B24" s="2"/>
      <x:c r="C24" s="2"/>
      <x:c r="D24" s="2"/>
      <x:c r="E24" s="2"/>
      <x:c r="F24" s="2"/>
      <x:c r="G24" s="2"/>
      <x:c r="H24" s="2"/>
    </x:row>
    <x:row r="25" ht="36" customHeight="1">
      <x:c r="A25" s="7" t="str">
        <x:v>All 28 expected point IDs must appear once. Source/type, display, binding, location, access, units, state labels, approved values and the separate function evidence must agree.</x:v>
      </x:c>
      <x:c r="B25" s="7" t="str">
        <x:v>All 28 expected point IDs must appear once. Source/type, display, binding, location, access, units, state labels, approved values and the separate function evidence must agree.</x:v>
      </x:c>
      <x:c r="C25" s="7" t="str">
        <x:v>All 28 expected point IDs must appear once. Source/type, display, binding, location, access, units, state labels, approved values and the separate function evidence must agree.</x:v>
      </x:c>
      <x:c r="D25" s="7" t="str">
        <x:v>All 28 expected point IDs must appear once. Source/type, display, binding, location, access, units, state labels, approved values and the separate function evidence must agree.</x:v>
      </x:c>
      <x:c r="E25" s="7" t="str">
        <x:v>All 28 expected point IDs must appear once. Source/type, display, binding, location, access, units, state labels, approved values and the separate function evidence must agree.</x:v>
      </x:c>
      <x:c r="F25" s="7" t="str">
        <x:v>All 28 expected point IDs must appear once. Source/type, display, binding, location, access, units, state labels, approved values and the separate function evidence must agree.</x:v>
      </x:c>
      <x:c r="G25" s="7" t="str">
        <x:v>All 28 expected point IDs must appear once. Source/type, display, binding, location, access, units, state labels, approved values and the separate function evidence must agree.</x:v>
      </x:c>
      <x:c r="H25" s="7" t="str">
        <x:v>All 28 expected point IDs must appear once. Source/type, display, binding, location, access, units, state labels, approved values and the separate function evidence must agree.</x:v>
      </x:c>
    </x:row>
    <x:row r="26" ht="25" customHeight="1">
      <x:c r="A26" s="2"/>
      <x:c r="B26" s="2"/>
      <x:c r="C26" s="2"/>
      <x:c r="D26" s="2"/>
      <x:c r="E26" s="2"/>
      <x:c r="F26" s="2"/>
      <x:c r="G26" s="2"/>
      <x:c r="H26" s="2"/>
    </x:row>
    <x:row r="27" ht="30" customHeight="1">
      <x:c r="A27" s="30" t="str">
        <x:v>Findings and disposition</x:v>
      </x:c>
      <x:c r="B27" s="30" t="str">
        <x:v>Findings and disposition</x:v>
      </x:c>
      <x:c r="C27" s="30" t="str">
        <x:v>Findings and disposition</x:v>
      </x:c>
      <x:c r="D27" s="30" t="str">
        <x:v>Findings and disposition</x:v>
      </x:c>
      <x:c r="E27" s="30" t="str">
        <x:v>Findings and disposition</x:v>
      </x:c>
      <x:c r="F27" s="30" t="str">
        <x:v>Findings and disposition</x:v>
      </x:c>
      <x:c r="G27" s="30" t="str">
        <x:v>Findings and disposition</x:v>
      </x:c>
      <x:c r="H27" s="30" t="str">
        <x:v>Findings and disposition</x:v>
      </x:c>
    </x:row>
    <x:row r="28" ht="58" customHeight="1">
      <x:c r="A28" s="54" t="str">
        <x:v>F01</x:v>
      </x:c>
      <x:c r="B28" s="43" t="str">
        <x:v>P06. Mismatch</x:v>
      </x:c>
      <x:c r="C28" s="43" t="str">
        <x:v>P06. Mismatch</x:v>
      </x:c>
      <x:c r="D28" s="43" t="str">
        <x:f>IF(COUNTIFS(Findings!$A$15:$A$18,"F01",Findings!$F$15:$F$18,"Reconciled")=1,"Graphic bound to AHU02.SAT; graphic and point both record 21.8°C at 10:15:00.","Review required. Correct the graphic source and repeat the display check.")</x:f>
        <x:v>Graphic bound to AHU02.SAT; graphic and point both record 21.8°C at 10:15:00.</x:v>
      </x:c>
      <x:c r="E28" s="43" t="str"/>
      <x:c r="F28" s="43" t="str"/>
      <x:c r="G28" s="43" t="str"/>
      <x:c r="H28" s="43" t="str"/>
    </x:row>
    <x:row r="29" ht="58" customHeight="1">
      <x:c r="A29" s="55" t="str">
        <x:v>F02</x:v>
      </x:c>
      <x:c r="B29" s="50" t="str">
        <x:v>P14. Missing display</x:v>
      </x:c>
      <x:c r="C29" s="50" t="str">
        <x:v>P14. Missing display</x:v>
      </x:c>
      <x:c r="D29" s="50" t="str">
        <x:f>IF(COUNTIFS(Findings!$A$15:$A$18,"F02",Findings!$F$15:$F$18,"Reconciled")=1,"Enabled state retained. Read-only display added; state mapping verified in supplied test-environment records.","Review required. Add read-only live-state display; verify Disabled and Unknown mapping as well.")</x:f>
        <x:v>Enabled state retained. Read-only display added; state mapping verified in supplied test-environment records.</x:v>
      </x:c>
      <x:c r="E29" s="50" t="str"/>
      <x:c r="F29" s="50" t="str"/>
      <x:c r="G29" s="50" t="str"/>
      <x:c r="H29" s="50" t="str"/>
    </x:row>
    <x:row r="30" ht="58" customHeight="1">
      <x:c r="A30" s="54" t="str">
        <x:v>F03</x:v>
      </x:c>
      <x:c r="B30" s="43" t="str">
        <x:v>P07. Intent to confirm</x:v>
      </x:c>
      <x:c r="C30" s="43" t="str">
        <x:v>P07. Intent to confirm</x:v>
      </x:c>
      <x:c r="D30" s="43" t="str">
        <x:f>IF(COUNTIFS(Findings!$A$15:$A$18,"F03",Findings!$F$15:$F$18,"Reconciled")=1,"Approved change to the current operating baseline confirmed. Sequence and O&amp;M updated to match 22°C.","Review required. Confirm purpose, approval and scope. Retain the approved 22°C and update controlled documents.")</x:f>
        <x:v>Approved change to the current operating baseline confirmed. Sequence and O&amp;M updated to match 22°C.</x:v>
      </x:c>
      <x:c r="E30" s="43" t="str"/>
      <x:c r="F30" s="43" t="str"/>
      <x:c r="G30" s="43" t="str"/>
      <x:c r="H30" s="43" t="str"/>
    </x:row>
    <x:row r="31" ht="58" customHeight="1">
      <x:c r="A31" s="55" t="str">
        <x:v>F04</x:v>
      </x:c>
      <x:c r="B31" s="50" t="str">
        <x:v>M01. Missing timing evidence</x:v>
      </x:c>
      <x:c r="C31" s="50" t="str">
        <x:v>M01. Missing timing evidence</x:v>
      </x:c>
      <x:c r="D31" s="50" t="str">
        <x:f>IF(COUNTIFS(Findings!$A$15:$A$18,"F04",Findings!$F$15:$F$18,"Reconciled")=1,"All three signals OFF before 10:00:00. AHU command OFF-to-ON at 10:00:00; SF status stays OFF. Alarm OFF-to-ON at 10:01:00: 60 s from the command rising edge.","Review required. Obtain a timed record including command OFF-to-ON, both sustained signals and alarm OFF-to-ON.")</x:f>
        <x:v>All three signals OFF before 10:00:00. AHU command OFF-to-ON at 10:00:00; SF status stays OFF. Alarm OFF-to-ON at 10:01:00: 60 s from the command rising edge.</x:v>
      </x:c>
      <x:c r="E31" s="50" t="str"/>
      <x:c r="F31" s="50" t="str"/>
      <x:c r="G31" s="50" t="str"/>
      <x:c r="H31" s="50" t="str"/>
    </x:row>
    <x:row r="32" ht="25" customHeight="1">
      <x:c r="A32" s="2"/>
      <x:c r="B32" s="2"/>
      <x:c r="C32" s="2"/>
      <x:c r="D32" s="2"/>
      <x:c r="E32" s="2"/>
      <x:c r="F32" s="2"/>
      <x:c r="G32" s="2"/>
      <x:c r="H32" s="2"/>
    </x:row>
    <x:row r="33" ht="30" customHeight="1">
      <x:c r="A33" s="30" t="str">
        <x:v>System, scope and responsibilities</x:v>
      </x:c>
      <x:c r="B33" s="30" t="str">
        <x:v>System, scope and responsibilities</x:v>
      </x:c>
      <x:c r="C33" s="30" t="str">
        <x:v>System, scope and responsibilities</x:v>
      </x:c>
      <x:c r="D33" s="30" t="str">
        <x:v>System, scope and responsibilities</x:v>
      </x:c>
      <x:c r="E33" s="30" t="str">
        <x:v>System, scope and responsibilities</x:v>
      </x:c>
      <x:c r="F33" s="30" t="str">
        <x:v>System, scope and responsibilities</x:v>
      </x:c>
      <x:c r="G33" s="30" t="str">
        <x:v>System, scope and responsibilities</x:v>
      </x:c>
      <x:c r="H33" s="30" t="str">
        <x:v>System, scope and responsibilities</x:v>
      </x:c>
    </x:row>
    <x:row r="34" ht="62" customHeight="1">
      <x:c r="A34" s="38" t="str">
        <x:v>Case system</x:v>
      </x:c>
      <x:c r="B34" s="38" t="str">
        <x:v>Case system</x:v>
      </x:c>
      <x:c r="C34" s="38" t="str">
        <x:v>Two-pipe constant-volume AHU. Supply fan (SF) + return fan (RF), linked by the common AHU start/stop command. One shared chilled/hot-water coil and one valve. Seasonal heating/cooling changeover. Return fan upstream of the EA/RA split. ON/OFF humidifier downstream of the coil.</x:v>
      </x:c>
      <x:c r="D34" s="38" t="str">
        <x:v>Two-pipe constant-volume AHU. Supply fan (SF) + return fan (RF), linked by the common AHU start/stop command. One shared chilled/hot-water coil and one valve. Seasonal heating/cooling changeover. Return fan upstream of the EA/RA split. ON/OFF humidifier downstream of the coil.</x:v>
      </x:c>
      <x:c r="E34" s="38" t="str">
        <x:v>Two-pipe constant-volume AHU. Supply fan (SF) + return fan (RF), linked by the common AHU start/stop command. One shared chilled/hot-water coil and one valve. Seasonal heating/cooling changeover. Return fan upstream of the EA/RA split. ON/OFF humidifier downstream of the coil.</x:v>
      </x:c>
      <x:c r="F34" s="38" t="str">
        <x:v>Two-pipe constant-volume AHU. Supply fan (SF) + return fan (RF), linked by the common AHU start/stop command. One shared chilled/hot-water coil and one valve. Seasonal heating/cooling changeover. Return fan upstream of the EA/RA split. ON/OFF humidifier downstream of the coil.</x:v>
      </x:c>
      <x:c r="G34" s="38" t="str">
        <x:v>Two-pipe constant-volume AHU. Supply fan (SF) + return fan (RF), linked by the common AHU start/stop command. One shared chilled/hot-water coil and one valve. Seasonal heating/cooling changeover. Return fan upstream of the EA/RA split. ON/OFF humidifier downstream of the coil.</x:v>
      </x:c>
      <x:c r="H34" s="38" t="str">
        <x:v>Two-pipe constant-volume AHU. Supply fan (SF) + return fan (RF), linked by the common AHU start/stop command. One shared chilled/hot-water coil and one valve. Seasonal heating/cooling changeover. Return fan upstream of the EA/RA split. ON/OFF humidifier downstream of the coil.</x:v>
      </x:c>
    </x:row>
    <x:row r="35" ht="40" customHeight="1">
      <x:c r="A35" s="38" t="str">
        <x:v>Damper commands</x:v>
      </x:c>
      <x:c r="B35" s="38" t="str">
        <x:v>Damper commands</x:v>
      </x:c>
      <x:c r="C35" s="38" t="str">
        <x:v>Three individual AO outputs. OA = EA = u and RA = 100-u during normal economizer operation. No motorized SA damper.</x:v>
      </x:c>
      <x:c r="D35" s="38" t="str">
        <x:v>Three individual AO outputs. OA = EA = u and RA = 100-u during normal economizer operation. No motorized SA damper.</x:v>
      </x:c>
      <x:c r="E35" s="38" t="str">
        <x:v>Three individual AO outputs. OA = EA = u and RA = 100-u during normal economizer operation. No motorized SA damper.</x:v>
      </x:c>
      <x:c r="F35" s="38" t="str">
        <x:v>Three individual AO outputs. OA = EA = u and RA = 100-u during normal economizer operation. No motorized SA damper.</x:v>
      </x:c>
      <x:c r="G35" s="38" t="str">
        <x:v>Three individual AO outputs. OA = EA = u and RA = 100-u during normal economizer operation. No motorized SA damper.</x:v>
      </x:c>
      <x:c r="H35" s="38" t="str">
        <x:v>Three individual AO outputs. OA = EA = u and RA = 100-u during normal economizer operation. No motorized SA damper.</x:v>
      </x:c>
    </x:row>
    <x:row r="36" ht="40" customHeight="1">
      <x:c r="A36" s="38" t="str">
        <x:v>Register scope</x:v>
      </x:c>
      <x:c r="B36" s="38" t="str">
        <x:v>Register scope</x:v>
      </x:c>
      <x:c r="C36" s="38" t="str">
        <x:v>28 points: 26 main-graphic displays and 2 maintenance displays. Shared SITE.OAT / SITE.OAH references are intentional.</x:v>
      </x:c>
      <x:c r="D36" s="38" t="str">
        <x:v>28 points: 26 main-graphic displays and 2 maintenance displays. Shared SITE.OAT / SITE.OAH references are intentional.</x:v>
      </x:c>
      <x:c r="E36" s="38" t="str">
        <x:v>28 points: 26 main-graphic displays and 2 maintenance displays. Shared SITE.OAT / SITE.OAH references are intentional.</x:v>
      </x:c>
      <x:c r="F36" s="38" t="str">
        <x:v>28 points: 26 main-graphic displays and 2 maintenance displays. Shared SITE.OAT / SITE.OAH references are intentional.</x:v>
      </x:c>
      <x:c r="G36" s="38" t="str">
        <x:v>28 points: 26 main-graphic displays and 2 maintenance displays. Shared SITE.OAT / SITE.OAH references are intentional.</x:v>
      </x:c>
      <x:c r="H36" s="38" t="str">
        <x:v>28 points: 26 main-graphic displays and 2 maintenance displays. Shared SITE.OAT / SITE.OAH references are intentional.</x:v>
      </x:c>
    </x:row>
    <x:row r="37" ht="40" customHeight="1">
      <x:c r="A37" s="38" t="str">
        <x:v>Client</x:v>
      </x:c>
      <x:c r="B37" s="38" t="str">
        <x:v>Client</x:v>
      </x:c>
      <x:c r="C37" s="38" t="str">
        <x:v>Provides source/change records. Owns programming, site tests, document revisions and acceptance.</x:v>
      </x:c>
      <x:c r="D37" s="38" t="str">
        <x:v>Provides source/change records. Owns programming, site tests, document revisions and acceptance.</x:v>
      </x:c>
      <x:c r="E37" s="38" t="str">
        <x:v>Provides source/change records. Owns programming, site tests, document revisions and acceptance.</x:v>
      </x:c>
      <x:c r="F37" s="38" t="str">
        <x:v>Provides source/change records. Owns programming, site tests, document revisions and acceptance.</x:v>
      </x:c>
      <x:c r="G37" s="38" t="str">
        <x:v>Provides source/change records. Owns programming, site tests, document revisions and acceptance.</x:v>
      </x:c>
      <x:c r="H37" s="38" t="str">
        <x:v>Provides source/change records. Owns programming, site tests, document revisions and acceptance.</x:v>
      </x:c>
    </x:row>
    <x:row r="38" ht="40" customHeight="1">
      <x:c r="A38" s="38" t="str">
        <x:v>Remote reviewer</x:v>
      </x:c>
      <x:c r="B38" s="38" t="str">
        <x:v>Remote reviewer</x:v>
      </x:c>
      <x:c r="C38" s="38" t="str">
        <x:v>Defines the comparisons, checks record consistency and reviews the supplied approval and test evidence.</x:v>
      </x:c>
      <x:c r="D38" s="38" t="str">
        <x:v>Defines the comparisons, checks record consistency and reviews the supplied approval and test evidence.</x:v>
      </x:c>
      <x:c r="E38" s="38" t="str">
        <x:v>Defines the comparisons, checks record consistency and reviews the supplied approval and test evidence.</x:v>
      </x:c>
      <x:c r="F38" s="38" t="str">
        <x:v>Defines the comparisons, checks record consistency and reviews the supplied approval and test evidence.</x:v>
      </x:c>
      <x:c r="G38" s="38" t="str">
        <x:v>Defines the comparisons, checks record consistency and reviews the supplied approval and test evidence.</x:v>
      </x:c>
      <x:c r="H38" s="38" t="str">
        <x:v>Defines the comparisons, checks record consistency and reviews the supplied approval and test evidence.</x:v>
      </x:c>
    </x:row>
    <x:row r="39" ht="25" customHeight="1">
      <x:c r="A39" s="2"/>
      <x:c r="B39" s="2"/>
      <x:c r="C39" s="2"/>
      <x:c r="D39" s="2"/>
      <x:c r="E39" s="2"/>
      <x:c r="F39" s="2"/>
      <x:c r="G39" s="2"/>
      <x:c r="H39" s="2"/>
    </x:row>
    <x:row r="40" ht="40" customHeight="1">
      <x:c r="A40" s="38" t="str">
        <x:v>Review chronology</x:v>
      </x:c>
      <x:c r="B40" s="38" t="str">
        <x:v>Review chronology</x:v>
      </x:c>
      <x:c r="C40" s="38" t="str">
        <x:v>Initial review 07 Oct. CR-01 received 08 Oct, confirming approval and implementation on 05 Oct. Final revised records reviewed 10 Oct.</x:v>
      </x:c>
      <x:c r="D40" s="38" t="str">
        <x:v>Initial review 07 Oct. CR-01 received 08 Oct, confirming approval and implementation on 05 Oct. Final revised records reviewed 10 Oct.</x:v>
      </x:c>
      <x:c r="E40" s="38" t="str">
        <x:v>Initial review 07 Oct. CR-01 received 08 Oct, confirming approval and implementation on 05 Oct. Final revised records reviewed 10 Oct.</x:v>
      </x:c>
      <x:c r="F40" s="38" t="str">
        <x:v>Initial review 07 Oct. CR-01 received 08 Oct, confirming approval and implementation on 05 Oct. Final revised records reviewed 10 Oct.</x:v>
      </x:c>
      <x:c r="G40" s="38" t="str">
        <x:v>Initial review 07 Oct. CR-01 received 08 Oct, confirming approval and implementation on 05 Oct. Final revised records reviewed 10 Oct.</x:v>
      </x:c>
      <x:c r="H40" s="38" t="str">
        <x:v>Initial review 07 Oct. CR-01 received 08 Oct, confirming approval and implementation on 05 Oct. Final revised records reviewed 10 Oct.</x:v>
      </x:c>
    </x:row>
    <x:row r="41" ht="25" customHeight="1">
      <x:c r="A41" s="2"/>
      <x:c r="B41" s="2"/>
      <x:c r="C41" s="2"/>
      <x:c r="D41" s="2"/>
      <x:c r="E41" s="2"/>
      <x:c r="F41" s="2"/>
      <x:c r="G41" s="2"/>
      <x:c r="H41" s="2"/>
    </x:row>
    <x:row r="42" ht="50" customHeight="1">
      <x:c r="A42" s="38" t="str">
        <x:v>Assessment boundary</x:v>
      </x:c>
      <x:c r="B42" s="38" t="str">
        <x:v>Assessment boundary</x:v>
      </x:c>
      <x:c r="C42" s="38" t="str">
        <x:v>C01–C03 parameter values were not supplied and are not assessed. Timer reset, reverse mismatch, return-fan tests, airflow balancing, humidification performance and the fan-stop humidifier interlock are outside this example.</x:v>
      </x:c>
      <x:c r="D42" s="38" t="str">
        <x:v>C01–C03 parameter values were not supplied and are not assessed. Timer reset, reverse mismatch, return-fan tests, airflow balancing, humidification performance and the fan-stop humidifier interlock are outside this example.</x:v>
      </x:c>
      <x:c r="E42" s="38" t="str">
        <x:v>C01–C03 parameter values were not supplied and are not assessed. Timer reset, reverse mismatch, return-fan tests, airflow balancing, humidification performance and the fan-stop humidifier interlock are outside this example.</x:v>
      </x:c>
      <x:c r="F42" s="38" t="str">
        <x:v>C01–C03 parameter values were not supplied and are not assessed. Timer reset, reverse mismatch, return-fan tests, airflow balancing, humidification performance and the fan-stop humidifier interlock are outside this example.</x:v>
      </x:c>
      <x:c r="G42" s="38" t="str">
        <x:v>C01–C03 parameter values were not supplied and are not assessed. Timer reset, reverse mismatch, return-fan tests, airflow balancing, humidification performance and the fan-stop humidifier interlock are outside this example.</x:v>
      </x:c>
      <x:c r="H42" s="38" t="str">
        <x:v>C01–C03 parameter values were not supplied and are not assessed. Timer reset, reverse mismatch, return-fan tests, airflow balancing, humidification performance and the fan-stop humidifier interlock are outside this example.</x:v>
      </x:c>
    </x:row>
    <x:row r="43" ht="25" customHeight="1">
      <x:c r="A43" s="2"/>
      <x:c r="B43" s="2"/>
      <x:c r="C43" s="2"/>
      <x:c r="D43" s="2"/>
      <x:c r="E43" s="2"/>
      <x:c r="F43" s="2"/>
      <x:c r="G43" s="2"/>
      <x:c r="H43" s="2"/>
    </x:row>
    <x:row r="44" ht="36" customHeight="1">
      <x:c r="A44" s="7" t="str">
        <x:v>This workbook records defined document and evidence comparisons. It does not certify every control setting or function, equipment performance or handover acceptance.</x:v>
      </x:c>
      <x:c r="B44" s="7" t="str">
        <x:v>This workbook records defined document and evidence comparisons. It does not certify every control setting or function, equipment performance or handover acceptance.</x:v>
      </x:c>
      <x:c r="C44" s="7" t="str">
        <x:v>This workbook records defined document and evidence comparisons. It does not certify every control setting or function, equipment performance or handover acceptance.</x:v>
      </x:c>
      <x:c r="D44" s="7" t="str">
        <x:v>This workbook records defined document and evidence comparisons. It does not certify every control setting or function, equipment performance or handover acceptance.</x:v>
      </x:c>
      <x:c r="E44" s="7" t="str">
        <x:v>This workbook records defined document and evidence comparisons. It does not certify every control setting or function, equipment performance or handover acceptance.</x:v>
      </x:c>
      <x:c r="F44" s="7" t="str">
        <x:v>This workbook records defined document and evidence comparisons. It does not certify every control setting or function, equipment performance or handover acceptance.</x:v>
      </x:c>
      <x:c r="G44" s="7" t="str">
        <x:v>This workbook records defined document and evidence comparisons. It does not certify every control setting or function, equipment performance or handover acceptance.</x:v>
      </x:c>
      <x:c r="H44" s="7" t="str">
        <x:v>This workbook records defined document and evidence comparisons. It does not certify every control setting or function, equipment performance or handover acceptance.</x:v>
      </x:c>
    </x:row>
    <x:row r="45" ht="25" customHeight="1">
      <x:c r="A45" s="2"/>
      <x:c r="B45" s="2"/>
      <x:c r="C45" s="2"/>
      <x:c r="D45" s="2"/>
      <x:c r="E45" s="2"/>
      <x:c r="F45" s="2"/>
      <x:c r="G45" s="2"/>
      <x:c r="H45" s="2"/>
    </x:row>
    <x:row r="46" ht="25" customHeight="1">
      <x:c r="A46" s="2"/>
      <x:c r="B46" s="2"/>
      <x:c r="C46" s="2"/>
      <x:c r="D46" s="2"/>
      <x:c r="E46" s="2"/>
      <x:c r="F46" s="2"/>
      <x:c r="G46" s="2"/>
      <x:c r="H46" s="2"/>
    </x:row>
  </x:sheetData>
  <x:mergeCells>
    <x:mergeCell ref="A2:H2"/>
    <x:mergeCell ref="A4:H4"/>
    <x:mergeCell ref="A6:H6"/>
    <x:mergeCell ref="A7:H8"/>
    <x:mergeCell ref="A10:H10"/>
    <x:mergeCell ref="A11:H12"/>
    <x:mergeCell ref="A14:D14"/>
    <x:mergeCell ref="E14:F14"/>
    <x:mergeCell ref="G14:H14"/>
    <x:mergeCell ref="A15:D15"/>
    <x:mergeCell ref="E15:F15"/>
    <x:mergeCell ref="G15:H15"/>
    <x:mergeCell ref="A16:D16"/>
    <x:mergeCell ref="E16:F16"/>
    <x:mergeCell ref="G16:H16"/>
    <x:mergeCell ref="A17:D17"/>
    <x:mergeCell ref="E17:F17"/>
    <x:mergeCell ref="G17:H17"/>
    <x:mergeCell ref="A18:D18"/>
    <x:mergeCell ref="E18:F18"/>
    <x:mergeCell ref="G18:H18"/>
    <x:mergeCell ref="A19:D19"/>
    <x:mergeCell ref="E19:F19"/>
    <x:mergeCell ref="G19:H19"/>
    <x:mergeCell ref="A20:D20"/>
    <x:mergeCell ref="E20:F20"/>
    <x:mergeCell ref="G20:H20"/>
    <x:mergeCell ref="A21:D21"/>
    <x:mergeCell ref="E21:F21"/>
    <x:mergeCell ref="G21:H21"/>
    <x:mergeCell ref="A22:D22"/>
    <x:mergeCell ref="E22:F22"/>
    <x:mergeCell ref="G22:H22"/>
    <x:mergeCell ref="A23:D23"/>
    <x:mergeCell ref="E23:H23"/>
    <x:mergeCell ref="A25:H25"/>
    <x:mergeCell ref="A27:H27"/>
    <x:mergeCell ref="B28:C28"/>
    <x:mergeCell ref="D28:H28"/>
    <x:mergeCell ref="B29:C29"/>
    <x:mergeCell ref="D29:H29"/>
    <x:mergeCell ref="B30:C30"/>
    <x:mergeCell ref="D30:H30"/>
    <x:mergeCell ref="B31:C31"/>
    <x:mergeCell ref="D31:H31"/>
    <x:mergeCell ref="A33:H33"/>
    <x:mergeCell ref="A34:B34"/>
    <x:mergeCell ref="C34:H34"/>
    <x:mergeCell ref="A35:B35"/>
    <x:mergeCell ref="C35:H35"/>
    <x:mergeCell ref="A36:B36"/>
    <x:mergeCell ref="C36:H36"/>
    <x:mergeCell ref="A37:B37"/>
    <x:mergeCell ref="C37:H37"/>
    <x:mergeCell ref="A38:B38"/>
    <x:mergeCell ref="C38:H38"/>
    <x:mergeCell ref="A40:B40"/>
    <x:mergeCell ref="C40:H40"/>
    <x:mergeCell ref="A42:B42"/>
    <x:mergeCell ref="C42:H42"/>
    <x:mergeCell ref="A44:H44"/>
  </x:mergeCells>
  <x:conditionalFormatting sqref="E23:H23">
    <x:cfRule type="containsText" dxfId="35" priority="1" operator="containsText" text="Mismatch"/>
    <x:cfRule type="containsText" dxfId="36" priority="2" operator="containsText" text="Missing"/>
    <x:cfRule type="containsText" dxfId="37" priority="3" operator="containsText" text="Open"/>
    <x:cfRule type="containsText" dxfId="38" priority="4" operator="containsText" text="Not recorded"/>
    <x:cfRule type="containsText" dxfId="39" priority="5" operator="containsText" text="Not assessed"/>
    <x:cfRule type="containsText" dxfId="40" priority="6" operator="containsText" text="Review required"/>
    <x:cfRule type="containsText" dxfId="41" priority="7" operator="containsText" text="Source missing"/>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38" hidden="0" customWidth="1"/>
    <x:col min="3" max="3" width="38" hidden="0" customWidth="1"/>
    <x:col min="4" max="4" width="47" hidden="0" customWidth="1"/>
    <x:col min="5" max="5" width="39" hidden="0" customWidth="1"/>
    <x:col min="6" max="6" width="24" hidden="0" customWidth="1"/>
  </x:cols>
  <x:sheetData>
    <x:row r="1" ht="25" customHeight="1">
      <x:c r="A1" s="2"/>
      <x:c r="B1" s="2"/>
      <x:c r="C1" s="2"/>
      <x:c r="D1" s="2"/>
      <x:c r="E1" s="2"/>
      <x:c r="F1" s="2"/>
    </x:row>
    <x:row r="2" ht="37" customHeight="1">
      <x:c r="A2" s="4" t="str">
        <x:v>Findings and evidence for closure</x:v>
      </x:c>
      <x:c r="B2" s="4" t="str">
        <x:v>Findings and evidence for closure</x:v>
      </x:c>
      <x:c r="C2" s="4" t="str">
        <x:v>Findings and evidence for closure</x:v>
      </x:c>
      <x:c r="D2" s="4" t="str">
        <x:v>Findings and evidence for closure</x:v>
      </x:c>
      <x:c r="E2" s="4" t="str">
        <x:v>Findings and evidence for closure</x:v>
      </x:c>
      <x:c r="F2" s="4" t="str">
        <x:v>Findings and evidence for closure</x:v>
      </x:c>
    </x:row>
    <x:row r="3" ht="7" customHeight="1">
      <x:c r="A3" s="5"/>
      <x:c r="B3" s="5"/>
      <x:c r="C3" s="5"/>
      <x:c r="D3" s="5"/>
      <x:c r="E3" s="5"/>
      <x:c r="F3" s="5"/>
    </x:row>
    <x:row r="4" ht="34" customHeight="1">
      <x:c r="A4" s="7" t="str">
        <x:v>Three registered-point findings and one monitoring-function finding. Confirm the purpose and approval of an operating change before deciding the correction.</x:v>
      </x:c>
      <x:c r="B4" s="7" t="str">
        <x:v>Three registered-point findings and one monitoring-function finding. Confirm the purpose and approval of an operating change before deciding the correction.</x:v>
      </x:c>
      <x:c r="C4" s="7" t="str">
        <x:v>Three registered-point findings and one monitoring-function finding. Confirm the purpose and approval of an operating change before deciding the correction.</x:v>
      </x:c>
      <x:c r="D4" s="7" t="str">
        <x:v>Three registered-point findings and one monitoring-function finding. Confirm the purpose and approval of an operating change before deciding the correction.</x:v>
      </x:c>
      <x:c r="E4" s="7" t="str">
        <x:v>Three registered-point findings and one monitoring-function finding. Confirm the purpose and approval of an operating change before deciding the correction.</x:v>
      </x:c>
      <x:c r="F4" s="7" t="str">
        <x:v>Three registered-point findings and one monitoring-function finding. Confirm the purpose and approval of an operating change before deciding the correction.</x:v>
      </x:c>
    </x:row>
    <x:row r="5" ht="25" customHeight="1">
      <x:c r="A5" s="2"/>
      <x:c r="B5" s="2"/>
      <x:c r="C5" s="2"/>
      <x:c r="D5" s="2"/>
      <x:c r="E5" s="2"/>
      <x:c r="F5" s="2"/>
    </x:row>
    <x:row r="6" ht="44" customHeight="1">
      <x:c r="A6" s="16" t="str">
        <x:v>Finding</x:v>
      </x:c>
      <x:c r="B6" s="17" t="str">
        <x:v>Item and issue</x:v>
      </x:c>
      <x:c r="C6" s="17" t="str">
        <x:v>Initial evidence</x:v>
      </x:c>
      <x:c r="D6" s="17" t="str">
        <x:v>Required action</x:v>
      </x:c>
      <x:c r="E6" s="17" t="str">
        <x:v>Responsible role</x:v>
      </x:c>
      <x:c r="F6" s="18" t="str">
        <x:v>Final result</x:v>
      </x:c>
    </x:row>
    <x:row r="7" ht="82" customHeight="1">
      <x:c r="A7" s="27" t="str">
        <x:v>F01</x:v>
      </x:c>
      <x:c r="B7" s="21" t="str">
        <x:v>P06. SAT graphic bound to another AHU</x:v>
      </x:c>
      <x:c r="C7" s="21" t="str">
        <x:v>Graphic AHU01.SAT; trend AHU02.SAT. Both should reference AHU02.SAT.</x:v>
      </x:c>
      <x:c r="D7" s="21" t="str">
        <x:v>Correct the graphic source and repeat the display check.</x:v>
      </x:c>
      <x:c r="E7" s="21" t="str">
        <x:v>Client BMS engineer</x:v>
      </x:c>
      <x:c r="F7" s="21" t="str">
        <x:f>IF(COUNTIFS($A$15:$A$18,A7)&lt;&gt;1,"Source missing",INDEX($F$15:$F$18,MATCH(A7,$A$15:$A$18,0)))</x:f>
        <x:v>Reconciled</x:v>
      </x:c>
    </x:row>
    <x:row r="8" ht="82" customHeight="1">
      <x:c r="A8" s="28" t="str">
        <x:v>F02</x:v>
      </x:c>
      <x:c r="B8" s="24" t="str">
        <x:v>P14. Freeze-protection enabled status absent from graphic</x:v>
      </x:c>
      <x:c r="C8" s="24" t="str">
        <x:v>Point list requires a read-only main-screen display. Controller value is Enabled; graphic omits it.</x:v>
      </x:c>
      <x:c r="D8" s="24" t="str">
        <x:v>Add read-only live-state display; verify Disabled and Unknown mapping as well.</x:v>
      </x:c>
      <x:c r="E8" s="24" t="str">
        <x:v>Client BMS engineer</x:v>
      </x:c>
      <x:c r="F8" s="24" t="str">
        <x:f>IF(COUNTIFS($A$15:$A$18,A8)&lt;&gt;1,"Source missing",INDEX($F$15:$F$18,MATCH(A8,$A$15:$A$18,0)))</x:f>
        <x:v>Reconciled</x:v>
      </x:c>
    </x:row>
    <x:row r="9" ht="82" customHeight="1">
      <x:c r="A9" s="27" t="str">
        <x:v>F03</x:v>
      </x:c>
      <x:c r="B9" s="21" t="str">
        <x:v>P07. 22°C live setpoint differs from 24°C documents</x:v>
      </x:c>
      <x:c r="C9" s="21" t="str">
        <x:v>Live value 22°C; sequence and O&amp;M 24°C. No change record in the initial package.</x:v>
      </x:c>
      <x:c r="D9" s="21" t="str">
        <x:v>Confirm purpose, approval and scope. Retain the approved 22°C and update controlled documents.</x:v>
      </x:c>
      <x:c r="E9" s="21" t="str">
        <x:v>Client facility manager / document owner</x:v>
      </x:c>
      <x:c r="F9" s="21" t="str">
        <x:f>IF(COUNTIFS($A$15:$A$18,A9)&lt;&gt;1,"Source missing",INDEX($F$15:$F$18,MATCH(A9,$A$15:$A$18,0)))</x:f>
        <x:v>Reconciled</x:v>
      </x:c>
    </x:row>
    <x:row r="10" ht="82" customHeight="1">
      <x:c r="A10" s="28" t="str">
        <x:v>F04</x:v>
      </x:c>
      <x:c r="B10" s="24" t="str">
        <x:v>M01. Supply-fan mismatch alarm timing not recorded</x:v>
      </x:c>
      <x:c r="C10" s="24" t="str">
        <x:v>Requirement: common AHU command ON and supply-fan run status OFF for 60 s. Initial record only says alarm displayed.</x:v>
      </x:c>
      <x:c r="D10" s="24" t="str">
        <x:v>Obtain a timed record including command OFF-to-ON, both sustained signals and alarm OFF-to-ON.</x:v>
      </x:c>
      <x:c r="E10" s="24" t="str">
        <x:v>Client commissioning engineer</x:v>
      </x:c>
      <x:c r="F10" s="24" t="str">
        <x:f>IF(COUNTIFS($A$15:$A$18,A10)&lt;&gt;1,"Source missing",INDEX($F$15:$F$18,MATCH(A10,$A$15:$A$18,0)))</x:f>
        <x:v>Reconciled</x:v>
      </x:c>
    </x:row>
    <x:row r="11" ht="25" customHeight="1">
      <x:c r="A11" s="2"/>
      <x:c r="B11" s="2"/>
      <x:c r="C11" s="2"/>
      <x:c r="D11" s="2"/>
      <x:c r="E11" s="2"/>
      <x:c r="F11" s="2"/>
    </x:row>
    <x:row r="12" ht="30" customHeight="1">
      <x:c r="A12" s="30" t="str">
        <x:v>Receipt and human review prerequisites</x:v>
      </x:c>
      <x:c r="B12" s="30" t="str">
        <x:v>Receipt and human review prerequisites</x:v>
      </x:c>
      <x:c r="C12" s="30" t="str">
        <x:v>Receipt and human review prerequisites</x:v>
      </x:c>
      <x:c r="D12" s="30" t="str">
        <x:v>Receipt and human review prerequisites</x:v>
      </x:c>
      <x:c r="E12" s="30" t="str">
        <x:v>Receipt and human review prerequisites</x:v>
      </x:c>
      <x:c r="F12" s="30" t="str">
        <x:v>Receipt and human review prerequisites</x:v>
      </x:c>
    </x:row>
    <x:row r="13" ht="25" customHeight="1">
      <x:c r="A13" s="2"/>
      <x:c r="B13" s="2"/>
      <x:c r="C13" s="2"/>
      <x:c r="D13" s="2"/>
      <x:c r="E13" s="2"/>
      <x:c r="F13" s="2"/>
    </x:row>
    <x:row r="14" ht="44" customHeight="1">
      <x:c r="A14" s="16" t="str">
        <x:v>Finding</x:v>
      </x:c>
      <x:c r="B14" s="17" t="str">
        <x:v>Revised sources received</x:v>
      </x:c>
      <x:c r="C14" s="17" t="str">
        <x:v>Functional retest received</x:v>
      </x:c>
      <x:c r="D14" s="17" t="str">
        <x:v>Approval received</x:v>
      </x:c>
      <x:c r="E14" s="17" t="str">
        <x:v>Human evidence decision</x:v>
      </x:c>
      <x:c r="F14" s="18" t="str">
        <x:v>Closure</x:v>
      </x:c>
    </x:row>
    <x:row r="15" ht="36" customHeight="1">
      <x:c r="A15" s="27" t="str">
        <x:v>F01</x:v>
      </x:c>
      <x:c r="B15" s="35" t="str">
        <x:v>Yes</x:v>
      </x:c>
      <x:c r="C15" s="35" t="str">
        <x:v>Yes</x:v>
      </x:c>
      <x:c r="D15" s="21" t="str">
        <x:v>Not required</x:v>
      </x:c>
      <x:c r="E15" s="35" t="str">
        <x:v>Confirmed</x:v>
      </x:c>
      <x:c r="F15" s="21" t="str">
        <x:f>IF(COUNTIFS('Point review'!$A$40:$A$67,"P06")&lt;&gt;1,"Open",IF(AND(AND(B15="Yes",C15="Yes",D15="Not required",E15="Confirmed",$C$26="Aligned"),INDEX('Point review'!$K$40:$K$67,MATCH("P06",'Point review'!$A$40:$A$67,0))="Aligned"),"Reconciled","Open"))</x:f>
        <x:v>Reconciled</x:v>
      </x:c>
    </x:row>
    <x:row r="16" ht="36" customHeight="1">
      <x:c r="A16" s="28" t="str">
        <x:v>F02</x:v>
      </x:c>
      <x:c r="B16" s="35" t="str">
        <x:v>Yes</x:v>
      </x:c>
      <x:c r="C16" s="35" t="str">
        <x:v>Yes</x:v>
      </x:c>
      <x:c r="D16" s="24" t="str">
        <x:v>Not required</x:v>
      </x:c>
      <x:c r="E16" s="35" t="str">
        <x:v>Confirmed</x:v>
      </x:c>
      <x:c r="F16" s="24" t="str">
        <x:f>IF(COUNTIFS('Point review'!$A$40:$A$67,"P14")&lt;&gt;1,"Open",IF(AND(AND(B16="Yes",C16="Yes",D16="Not required",E16="Confirmed",$C$31="Aligned"),INDEX('Point review'!$K$40:$K$67,MATCH("P14",'Point review'!$A$40:$A$67,0))="Aligned"),"Reconciled","Open"))</x:f>
        <x:v>Reconciled</x:v>
      </x:c>
    </x:row>
    <x:row r="17" ht="36" customHeight="1">
      <x:c r="A17" s="27" t="str">
        <x:v>F03</x:v>
      </x:c>
      <x:c r="B17" s="35" t="str">
        <x:v>Yes</x:v>
      </x:c>
      <x:c r="C17" s="21" t="str">
        <x:v>Not required</x:v>
      </x:c>
      <x:c r="D17" s="35" t="str">
        <x:v>Yes</x:v>
      </x:c>
      <x:c r="E17" s="35" t="str">
        <x:v>Confirmed</x:v>
      </x:c>
      <x:c r="F17" s="21" t="str">
        <x:f>IF(COUNTIFS('Point review'!$A$40:$A$67,"P07")&lt;&gt;1,"Open",IF(AND(AND(B17="Yes",C17="Not required",D17="Yes",E17="Confirmed",$C$41="Aligned"),INDEX('Point review'!$K$40:$K$67,MATCH("P07",'Point review'!$A$40:$A$67,0))="Aligned"),"Reconciled","Open"))</x:f>
        <x:v>Reconciled</x:v>
      </x:c>
    </x:row>
    <x:row r="18" ht="36" customHeight="1">
      <x:c r="A18" s="28" t="str">
        <x:v>F04</x:v>
      </x:c>
      <x:c r="B18" s="35" t="str">
        <x:v>Yes</x:v>
      </x:c>
      <x:c r="C18" s="35" t="str">
        <x:v>Yes</x:v>
      </x:c>
      <x:c r="D18" s="24" t="str">
        <x:v>Not required</x:v>
      </x:c>
      <x:c r="E18" s="35" t="str">
        <x:v>Confirmed</x:v>
      </x:c>
      <x:c r="F18" s="24" t="str">
        <x:f>IF(AND(B18="Yes",C18="Yes",D18="Not required",E18="Confirmed",'Functions and settings'!$C$25="Aligned"),"Reconciled","Open")</x:f>
        <x:v>Reconciled</x:v>
      </x:c>
    </x:row>
    <x:row r="19" ht="25" customHeight="1">
      <x:c r="A19" s="2"/>
      <x:c r="B19" s="2"/>
      <x:c r="C19" s="2"/>
      <x:c r="D19" s="2"/>
      <x:c r="E19" s="2"/>
      <x:c r="F19" s="2"/>
    </x:row>
    <x:row r="20" ht="48" customHeight="1">
      <x:c r="A20" s="7" t="str">
        <x:v>Yellow cells are human receipt and conformity decisions. Confirmed means the supplied evidence was judged consistent. F03 needs approval and configuration review, not a functional retest. Reassess decisions when records change.</x:v>
      </x:c>
      <x:c r="B20" s="7" t="str">
        <x:v>Yellow cells are human receipt and conformity decisions. Confirmed means the supplied evidence was judged consistent. F03 needs approval and configuration review, not a functional retest. Reassess decisions when records change.</x:v>
      </x:c>
      <x:c r="C20" s="7" t="str">
        <x:v>Yellow cells are human receipt and conformity decisions. Confirmed means the supplied evidence was judged consistent. F03 needs approval and configuration review, not a functional retest. Reassess decisions when records change.</x:v>
      </x:c>
      <x:c r="D20" s="7" t="str">
        <x:v>Yellow cells are human receipt and conformity decisions. Confirmed means the supplied evidence was judged consistent. F03 needs approval and configuration review, not a functional retest. Reassess decisions when records change.</x:v>
      </x:c>
      <x:c r="E20" s="7" t="str">
        <x:v>Yellow cells are human receipt and conformity decisions. Confirmed means the supplied evidence was judged consistent. F03 needs approval and configuration review, not a functional retest. Reassess decisions when records change.</x:v>
      </x:c>
      <x:c r="F20" s="7" t="str">
        <x:v>Yellow cells are human receipt and conformity decisions. Confirmed means the supplied evidence was judged consistent. F03 needs approval and configuration review, not a functional retest. Reassess decisions when records change.</x:v>
      </x:c>
    </x:row>
    <x:row r="21" ht="25" customHeight="1">
      <x:c r="A21" s="2"/>
      <x:c r="B21" s="2"/>
      <x:c r="C21" s="2"/>
      <x:c r="D21" s="2"/>
      <x:c r="E21" s="2"/>
      <x:c r="F21" s="2"/>
    </x:row>
    <x:row r="22" ht="25" customHeight="1">
      <x:c r="A22" s="2"/>
      <x:c r="B22" s="2"/>
      <x:c r="C22" s="2"/>
      <x:c r="D22" s="2"/>
      <x:c r="E22" s="2"/>
      <x:c r="F22" s="2"/>
    </x:row>
    <x:row r="23" ht="30" customHeight="1">
      <x:c r="A23" s="30" t="str">
        <x:v>F01. Graphic and trend references</x:v>
      </x:c>
      <x:c r="B23" s="30" t="str">
        <x:v>F01. Graphic and trend references</x:v>
      </x:c>
      <x:c r="C23" s="30" t="str">
        <x:v>F01. Graphic and trend references</x:v>
      </x:c>
      <x:c r="D23" s="30" t="str">
        <x:v>F01. Graphic and trend references</x:v>
      </x:c>
      <x:c r="E23" s="30" t="str">
        <x:v>F01. Graphic and trend references</x:v>
      </x:c>
      <x:c r="F23" s="30" t="str">
        <x:v>F01. Graphic and trend references</x:v>
      </x:c>
    </x:row>
    <x:row r="24" ht="36" customHeight="1">
      <x:c r="A24" s="38" t="str">
        <x:v>Revised SAT trend source</x:v>
      </x:c>
      <x:c r="B24" s="38" t="str">
        <x:v>Revised SAT trend source</x:v>
      </x:c>
      <x:c r="C24" s="38" t="str">
        <x:f>IF(COUNTIFS(Sources!$A$23:$A$65,"CFG-2 H01")&lt;&gt;1,"Source missing",INDEX(Sources!$C$23:$C$65,MATCH("CFG-2 H01",Sources!$A$23:$A$65,0)))</x:f>
        <x:v>AHU02.SAT</x:v>
      </x:c>
      <x:c r="D24" s="38"/>
      <x:c r="E24" s="38"/>
      <x:c r="F24" s="38"/>
    </x:row>
    <x:row r="25" ht="42" customHeight="1">
      <x:c r="A25" s="38" t="str">
        <x:v>Repeated display record</x:v>
      </x:c>
      <x:c r="B25" s="38" t="str">
        <x:v>Repeated display record</x:v>
      </x:c>
      <x:c r="C25" s="38" t="str">
        <x:f>IF(COUNTIFS(Sources!$A$23:$A$65,"TR-2 T02")&lt;&gt;1,"Source missing",INDEX(Sources!$C$23:$C$65,MATCH("TR-2 T02",Sources!$A$23:$A$65,0)))</x:f>
        <x:v>2026-10-10 10:15:00; source AHU02.SAT; graphic 21.8°C; AHU02.SAT 21.8°C</x:v>
      </x:c>
      <x:c r="D25" s="38"/>
      <x:c r="E25" s="38"/>
      <x:c r="F25" s="38"/>
    </x:row>
    <x:row r="26" ht="36" customHeight="1">
      <x:c r="A26" s="38" t="str">
        <x:v>Trend source and records</x:v>
      </x:c>
      <x:c r="B26" s="38" t="str">
        <x:v>Trend source and records</x:v>
      </x:c>
      <x:c r="C26" s="38" t="str">
        <x:f>IF(AND(AND(COUNTIFS(Sources!$A$23:$A$65,"CFG-2 H01")=1,COUNTIFS(Sources!$A$23:$A$65,"CFG-2 H01",Sources!$C$23:$C$65,"&lt;&gt;")=1),AND(COUNTIFS(Sources!$A$23:$A$65,"TR-2 T02")=1,COUNTIFS(Sources!$A$23:$A$65,"TR-2 T02",Sources!$C$23:$C$65,"&lt;&gt;")=1),IF(COUNTIFS(Sources!$A$23:$A$65,"CFG-2 H01")&lt;&gt;1,"Source missing",INDEX(Sources!$C$23:$C$65,MATCH("CFG-2 H01",Sources!$A$23:$A$65,0)))=INDEX('Point requirements'!$C$7:$C$34,MATCH("P06",'Point requirements'!$A$7:$A$34,0))),"Aligned","Review required")</x:f>
        <x:v>Aligned</x:v>
      </x:c>
      <x:c r="D26" s="38"/>
      <x:c r="E26" s="38"/>
      <x:c r="F26" s="38"/>
    </x:row>
    <x:row r="27" ht="25" customHeight="1">
      <x:c r="A27" s="2"/>
      <x:c r="B27" s="2"/>
      <x:c r="C27" s="2"/>
      <x:c r="D27" s="2"/>
      <x:c r="E27" s="2"/>
      <x:c r="F27" s="2"/>
    </x:row>
    <x:row r="28" ht="30" customHeight="1">
      <x:c r="A28" s="30" t="str">
        <x:v>F02. Read-only status and state mapping</x:v>
      </x:c>
      <x:c r="B28" s="30" t="str">
        <x:v>F02. Read-only status and state mapping</x:v>
      </x:c>
      <x:c r="C28" s="30" t="str">
        <x:v>F02. Read-only status and state mapping</x:v>
      </x:c>
      <x:c r="D28" s="30" t="str">
        <x:v>F02. Read-only status and state mapping</x:v>
      </x:c>
      <x:c r="E28" s="30" t="str">
        <x:v>F02. Read-only status and state mapping</x:v>
      </x:c>
      <x:c r="F28" s="30" t="str">
        <x:v>F02. Read-only status and state mapping</x:v>
      </x:c>
    </x:row>
    <x:row r="29" ht="44" customHeight="1">
      <x:c r="A29" s="38" t="str">
        <x:v>Live display and access</x:v>
      </x:c>
      <x:c r="B29" s="38" t="str">
        <x:v>Live display and access</x:v>
      </x:c>
      <x:c r="C29" s="38" t="str">
        <x:f>IF(COUNTIFS(Sources!$A$23:$A$65,"TR-2 T03")&lt;&gt;1,"Source missing",INDEX(Sources!$C$23:$C$65,MATCH("TR-2 T03",Sources!$A$23:$A$65,0)))</x:f>
        <x:v>2026-10-10 10:20:00; controller Enable=1; graphic Enabled; operator account has no write permission</x:v>
      </x:c>
      <x:c r="D29" s="38"/>
      <x:c r="E29" s="38"/>
      <x:c r="F29" s="38"/>
    </x:row>
    <x:row r="30" ht="46" customHeight="1">
      <x:c r="A30" s="38" t="str">
        <x:v>Test-environment mapping</x:v>
      </x:c>
      <x:c r="B30" s="38" t="str">
        <x:v>Test-environment mapping</x:v>
      </x:c>
      <x:c r="C30" s="38" t="str">
        <x:f>IF(COUNTIFS(Sources!$A$23:$A$65,"TR-2 T04")&lt;&gt;1,"Source missing",INDEX(Sources!$C$23:$C$65,MATCH("TR-2 T04",Sources!$A$23:$A$65,0)))</x:f>
        <x:v>1=Enabled; 0=Disabled; unavailable/invalid quality=Unknown. Verified by client in a test environment; live protection was not disabled</x:v>
      </x:c>
      <x:c r="D30" s="38"/>
      <x:c r="E30" s="38"/>
      <x:c r="F30" s="38"/>
    </x:row>
    <x:row r="31" ht="36" customHeight="1">
      <x:c r="A31" s="38" t="str">
        <x:v>Enabled value and records</x:v>
      </x:c>
      <x:c r="B31" s="38" t="str">
        <x:v>Enabled value and records</x:v>
      </x:c>
      <x:c r="C31" s="38" t="str">
        <x:f>IF(AND(AND(COUNTIFS(Sources!$A$23:$A$65,"TR-2 T03")=1,COUNTIFS(Sources!$A$23:$A$65,"TR-2 T03",Sources!$C$23:$C$65,"&lt;&gt;")=1),AND(COUNTIFS(Sources!$A$23:$A$65,"TR-2 T04")=1,COUNTIFS(Sources!$A$23:$A$65,"TR-2 T04",Sources!$C$23:$C$65,"&lt;&gt;")=1),INDEX('Config records'!$K$7:$K$62,MATCH("Baseline:P14",'Config records'!$A$7:$A$62,0))=1,INDEX('Config records'!$K$7:$K$62,MATCH("Recheck:P14",'Config records'!$A$7:$A$62,0))=1),"Aligned","Review required")</x:f>
        <x:v>Aligned</x:v>
      </x:c>
      <x:c r="D31" s="38"/>
      <x:c r="E31" s="38"/>
      <x:c r="F31" s="38"/>
    </x:row>
    <x:row r="32" ht="25" customHeight="1">
      <x:c r="A32" s="2"/>
      <x:c r="B32" s="2"/>
      <x:c r="C32" s="2"/>
      <x:c r="D32" s="2"/>
      <x:c r="E32" s="2"/>
      <x:c r="F32" s="2"/>
    </x:row>
    <x:row r="33" ht="30" customHeight="1">
      <x:c r="A33" s="30" t="str">
        <x:v>F03. Approved current operating baseline</x:v>
      </x:c>
      <x:c r="B33" s="30" t="str">
        <x:v>F03. Approved current operating baseline</x:v>
      </x:c>
      <x:c r="C33" s="30" t="str">
        <x:v>F03. Approved current operating baseline</x:v>
      </x:c>
      <x:c r="D33" s="30" t="str">
        <x:v>F03. Approved current operating baseline</x:v>
      </x:c>
      <x:c r="E33" s="30" t="str">
        <x:v>F03. Approved current operating baseline</x:v>
      </x:c>
      <x:c r="F33" s="30" t="str">
        <x:v>F03. Approved current operating baseline</x:v>
      </x:c>
    </x:row>
    <x:row r="34" ht="34" customHeight="1">
      <x:c r="A34" s="38" t="str">
        <x:v>Original requirement (°C)</x:v>
      </x:c>
      <x:c r="B34" s="38" t="str">
        <x:v>Original requirement (°C)</x:v>
      </x:c>
      <x:c r="C34" s="39" t="n">
        <x:f>IF(COUNTIFS(Sources!$A$23:$A$65,"SOO-C §2.1")&lt;&gt;1,"Source missing",INDEX(Sources!$C$23:$C$65,MATCH("SOO-C §2.1",Sources!$A$23:$A$65,0)))</x:f>
        <x:v>24</x:v>
      </x:c>
      <x:c r="D34" s="38" t="str">
        <x:v>Initial implementation (°C)</x:v>
      </x:c>
      <x:c r="E34" s="38" t="str">
        <x:v>Initial implementation (°C)</x:v>
      </x:c>
      <x:c r="F34" s="2" t="n">
        <x:f>IF(COUNTIFS(Sources!$A$23:$A$65,"CFG-1 P07")&lt;&gt;1,"Source missing",INDEX(Sources!$C$23:$C$65,MATCH("CFG-1 P07",Sources!$A$23:$A$65,0)))</x:f>
        <x:v>22</x:v>
      </x:c>
    </x:row>
    <x:row r="35" ht="34" customHeight="1">
      <x:c r="A35" s="38" t="str">
        <x:v>Approved new value (°C)</x:v>
      </x:c>
      <x:c r="B35" s="38" t="str">
        <x:v>Approved new value (°C)</x:v>
      </x:c>
      <x:c r="C35" s="39" t="n">
        <x:f>IF(COUNTIFS(Sources!$A$23:$A$65,"CR-01 new")&lt;&gt;1,"Source missing",INDEX(Sources!$C$23:$C$65,MATCH("CR-01 new",Sources!$A$23:$A$65,0)))</x:f>
        <x:v>22</x:v>
      </x:c>
      <x:c r="D35" s="38" t="str">
        <x:v>Revised sequence (°C)</x:v>
      </x:c>
      <x:c r="E35" s="38" t="str">
        <x:v>Revised sequence (°C)</x:v>
      </x:c>
      <x:c r="F35" s="2" t="n">
        <x:f>IF(COUNTIFS(Sources!$A$23:$A$65,"SOO-D §2.1")&lt;&gt;1,"Source missing",INDEX(Sources!$C$23:$C$65,MATCH("SOO-D §2.1",Sources!$A$23:$A$65,0)))</x:f>
        <x:v>22</x:v>
      </x:c>
    </x:row>
    <x:row r="36" ht="34" customHeight="1">
      <x:c r="A36" s="38" t="str">
        <x:v>Revised O&amp;M (°C)</x:v>
      </x:c>
      <x:c r="B36" s="38" t="str">
        <x:v>Revised O&amp;M (°C)</x:v>
      </x:c>
      <x:c r="C36" s="39" t="n">
        <x:f>IF(COUNTIFS(Sources!$A$23:$A$65,"OM-C §3.2")&lt;&gt;1,"Source missing",INDEX(Sources!$C$23:$C$65,MATCH("OM-C §3.2",Sources!$A$23:$A$65,0)))</x:f>
        <x:v>22</x:v>
      </x:c>
      <x:c r="D36" s="38" t="str">
        <x:v>Recorded implementation (°C)</x:v>
      </x:c>
      <x:c r="E36" s="38" t="str">
        <x:v>Recorded implementation (°C)</x:v>
      </x:c>
      <x:c r="F36" s="2" t="n">
        <x:f>IF(COUNTIFS(Sources!$A$23:$A$65,"CFG-2 P07")&lt;&gt;1,"Source missing",INDEX(Sources!$C$23:$C$65,MATCH("CFG-2 P07",Sources!$A$23:$A$65,0)))</x:f>
        <x:v>22</x:v>
      </x:c>
    </x:row>
    <x:row r="37" ht="38" customHeight="1">
      <x:c r="A37" s="38" t="str">
        <x:v>Reason for change</x:v>
      </x:c>
      <x:c r="B37" s="38" t="str">
        <x:v>Reason for change</x:v>
      </x:c>
      <x:c r="C37" s="38" t="str">
        <x:f>IF(COUNTIFS(Sources!$A$23:$A$65,"CR-01 reason")&lt;&gt;1,"Source missing",INDEX(Sources!$C$23:$C$65,MATCH("CR-01 reason",Sources!$A$23:$A$65,0)))</x:f>
        <x:v>Occupants reported that the space was too warm (2026-10-04).</x:v>
      </x:c>
      <x:c r="D37" s="38"/>
      <x:c r="E37" s="38"/>
      <x:c r="F37" s="38"/>
    </x:row>
    <x:row r="38" ht="45" customHeight="1">
      <x:c r="A38" s="38" t="str">
        <x:v>Approved scope and type</x:v>
      </x:c>
      <x:c r="B38" s="38" t="str">
        <x:v>Approved scope and type</x:v>
      </x:c>
      <x:c r="C38" s="38" t="str">
        <x:f>IF(COUNTIFS(Sources!$A$23:$A$65,"CR-01 scope")&lt;&gt;1,"Source missing",INDEX(Sources!$C$23:$C$65,MATCH("CR-01 scope",Sources!$A$23:$A$65,0)))&amp;". "&amp;IF(COUNTIFS(Sources!$A$23:$A$65,"CR-01 type")&lt;&gt;1,"Source missing",INDEX(Sources!$C$23:$C$65,MATCH("CR-01 type",Sources!$A$23:$A$65,0)))</x:f>
        <x:v>AHU-02 / AHU02.SAT_SP only. Adopt 22°C as the current operating baseline and update controlled documents; not a temporary override</x:v>
      </x:c>
      <x:c r="D38" s="38"/>
      <x:c r="E38" s="38"/>
      <x:c r="F38" s="38"/>
    </x:row>
    <x:row r="39" ht="38" customHeight="1">
      <x:c r="A39" s="38" t="str">
        <x:v>Approval and implementation</x:v>
      </x:c>
      <x:c r="B39" s="38" t="str">
        <x:v>Approval and implementation</x:v>
      </x:c>
      <x:c r="C39" s="38" t="str">
        <x:f>IF(COUNTIFS(Sources!$A$23:$A$65,"CR-01 approval")&lt;&gt;1,"Source missing",INDEX(Sources!$C$23:$C$65,MATCH("CR-01 approval",Sources!$A$23:$A$65,0)))&amp;". "&amp;IF(COUNTIFS(Sources!$A$23:$A$65,"CR-01 implementation")&lt;&gt;1,"Source missing",INDEX(Sources!$C$23:$C$65,MATCH("CR-01 implementation",Sources!$A$23:$A$65,0)))</x:f>
        <x:v>Facility manager approved 2026-10-05 08:00. Client BMS engineer implemented 2026-10-05 10:00</x:v>
      </x:c>
      <x:c r="D39" s="38"/>
      <x:c r="E39" s="38"/>
      <x:c r="F39" s="38"/>
    </x:row>
    <x:row r="40" ht="34" customHeight="1">
      <x:c r="A40" s="38" t="str">
        <x:v>Additional record received</x:v>
      </x:c>
      <x:c r="B40" s="38" t="str">
        <x:v>Additional record received</x:v>
      </x:c>
      <x:c r="C40" s="40" t="n">
        <x:f>IF(COUNTIFS(Sources!$A$23:$A$65,"CR-01 received")&lt;&gt;1,"Source missing",INDEX(Sources!$C$23:$C$65,MATCH("CR-01 received",Sources!$A$23:$A$65,0)))</x:f>
        <x:v>46303.458333333336</x:v>
      </x:c>
      <x:c r="D40" s="38"/>
      <x:c r="E40" s="38"/>
      <x:c r="F40" s="38"/>
    </x:row>
    <x:row r="41" ht="36" customHeight="1">
      <x:c r="A41" s="38" t="str">
        <x:v>Document consistency</x:v>
      </x:c>
      <x:c r="B41" s="38" t="str">
        <x:v>Document consistency</x:v>
      </x:c>
      <x:c r="C41" s="38" t="str">
        <x:f>IF(AND(ISNUMBER(C35),ISNUMBER(F35),ISNUMBER(C36),ISNUMBER(F36),C35=F35,C35=C36,C35=F36,C35=INDEX('Config records'!$K$7:$K$62,MATCH("Recheck:P07",'Config records'!$A$7:$A$62,0)),AND(COUNTIFS(Sources!$A$23:$A$65,"CR-01 reason")=1,COUNTIFS(Sources!$A$23:$A$65,"CR-01 reason",Sources!$C$23:$C$65,"&lt;&gt;")=1),AND(COUNTIFS(Sources!$A$23:$A$65,"CR-01 scope")=1,COUNTIFS(Sources!$A$23:$A$65,"CR-01 scope",Sources!$C$23:$C$65,"&lt;&gt;")=1),AND(COUNTIFS(Sources!$A$23:$A$65,"CR-01 approval")=1,COUNTIFS(Sources!$A$23:$A$65,"CR-01 approval",Sources!$C$23:$C$65,"&lt;&gt;")=1),AND(COUNTIFS(Sources!$A$23:$A$65,"CR-01 type")=1,COUNTIFS(Sources!$A$23:$A$65,"CR-01 type",Sources!$C$23:$C$65,"&lt;&gt;")=1),AND(COUNTIFS(Sources!$A$23:$A$65,"CR-01 implementation")=1,COUNTIFS(Sources!$A$23:$A$65,"CR-01 implementation",Sources!$C$23:$C$65,"&lt;&gt;")=1),AND(COUNTIFS(Sources!$A$23:$A$65,"CR-01 received")=1,COUNTIFS(Sources!$A$23:$A$65,"CR-01 received",Sources!$C$23:$C$65,"&lt;&gt;")=1)),"Aligned","Review required")</x:f>
        <x:v>Aligned</x:v>
      </x:c>
      <x:c r="D41" s="38"/>
      <x:c r="E41" s="38"/>
      <x:c r="F41" s="38"/>
    </x:row>
    <x:row r="42" ht="25" customHeight="1">
      <x:c r="A42" s="2"/>
      <x:c r="B42" s="2"/>
      <x:c r="C42" s="2"/>
      <x:c r="D42" s="2"/>
      <x:c r="E42" s="2"/>
      <x:c r="F42" s="2"/>
    </x:row>
    <x:row r="43" ht="36" customHeight="1">
      <x:c r="A43" s="7" t="str">
        <x:v>Evidence interpretation and engineering judgement remain human review inputs. Supplied records support the defined comparisons; they do not replace site acceptance.</x:v>
      </x:c>
      <x:c r="B43" s="7" t="str">
        <x:v>Evidence interpretation and engineering judgement remain human review inputs. Supplied records support the defined comparisons; they do not replace site acceptance.</x:v>
      </x:c>
      <x:c r="C43" s="7" t="str">
        <x:v>Evidence interpretation and engineering judgement remain human review inputs. Supplied records support the defined comparisons; they do not replace site acceptance.</x:v>
      </x:c>
      <x:c r="D43" s="7" t="str">
        <x:v>Evidence interpretation and engineering judgement remain human review inputs. Supplied records support the defined comparisons; they do not replace site acceptance.</x:v>
      </x:c>
      <x:c r="E43" s="7" t="str">
        <x:v>Evidence interpretation and engineering judgement remain human review inputs. Supplied records support the defined comparisons; they do not replace site acceptance.</x:v>
      </x:c>
      <x:c r="F43" s="7" t="str">
        <x:v>Evidence interpretation and engineering judgement remain human review inputs. Supplied records support the defined comparisons; they do not replace site acceptance.</x:v>
      </x:c>
    </x:row>
    <x:row r="44" ht="25" customHeight="1">
      <x:c r="A44" s="2"/>
      <x:c r="B44" s="2"/>
      <x:c r="C44" s="2"/>
      <x:c r="D44" s="2"/>
      <x:c r="E44" s="2"/>
      <x:c r="F44" s="2"/>
    </x:row>
  </x:sheetData>
  <x:mergeCells>
    <x:mergeCell ref="A2:F2"/>
    <x:mergeCell ref="A4:F4"/>
    <x:mergeCell ref="A12:F12"/>
    <x:mergeCell ref="A20:F20"/>
    <x:mergeCell ref="A23:F23"/>
    <x:mergeCell ref="A24:B24"/>
    <x:mergeCell ref="C24:F24"/>
    <x:mergeCell ref="A25:B25"/>
    <x:mergeCell ref="C25:F25"/>
    <x:mergeCell ref="A26:B26"/>
    <x:mergeCell ref="C26:F26"/>
    <x:mergeCell ref="A28:F28"/>
    <x:mergeCell ref="A29:B29"/>
    <x:mergeCell ref="C29:F29"/>
    <x:mergeCell ref="A30:B30"/>
    <x:mergeCell ref="C30:F30"/>
    <x:mergeCell ref="A31:B31"/>
    <x:mergeCell ref="C31:F31"/>
    <x:mergeCell ref="A33:F33"/>
    <x:mergeCell ref="A34:B34"/>
    <x:mergeCell ref="D34:E34"/>
    <x:mergeCell ref="A35:B35"/>
    <x:mergeCell ref="D35:E35"/>
    <x:mergeCell ref="A36:B36"/>
    <x:mergeCell ref="D36:E36"/>
    <x:mergeCell ref="A37:B37"/>
    <x:mergeCell ref="C37:F37"/>
    <x:mergeCell ref="A38:B38"/>
    <x:mergeCell ref="C38:F38"/>
    <x:mergeCell ref="A39:B39"/>
    <x:mergeCell ref="C39:F39"/>
    <x:mergeCell ref="A40:B40"/>
    <x:mergeCell ref="C40:F40"/>
    <x:mergeCell ref="A41:B41"/>
    <x:mergeCell ref="C41:F41"/>
    <x:mergeCell ref="A43:F43"/>
  </x:mergeCells>
  <x:conditionalFormatting sqref="F7:F10">
    <x:cfRule type="containsText" dxfId="14" priority="1" operator="containsText" text="Mismatch"/>
    <x:cfRule type="containsText" dxfId="15" priority="2" operator="containsText" text="Missing"/>
    <x:cfRule type="containsText" dxfId="16" priority="3" operator="containsText" text="Open"/>
    <x:cfRule type="containsText" dxfId="17" priority="4" operator="containsText" text="Not recorded"/>
    <x:cfRule type="containsText" dxfId="18" priority="5" operator="containsText" text="Not assessed"/>
    <x:cfRule type="containsText" dxfId="19" priority="6" operator="containsText" text="Review required"/>
    <x:cfRule type="containsText" dxfId="20" priority="7" operator="containsText" text="Source missing"/>
  </x:conditionalFormatting>
  <x:conditionalFormatting sqref="F15:F18">
    <x:cfRule type="containsText" dxfId="21" priority="8" operator="containsText" text="Mismatch"/>
    <x:cfRule type="containsText" dxfId="22" priority="9" operator="containsText" text="Missing"/>
    <x:cfRule type="containsText" dxfId="23" priority="10" operator="containsText" text="Open"/>
    <x:cfRule type="containsText" dxfId="24" priority="11" operator="containsText" text="Not recorded"/>
    <x:cfRule type="containsText" dxfId="25" priority="12" operator="containsText" text="Not assessed"/>
    <x:cfRule type="containsText" dxfId="26" priority="13" operator="containsText" text="Review required"/>
    <x:cfRule type="containsText" dxfId="27" priority="14" operator="containsText" text="Source missing"/>
  </x:conditionalFormatting>
  <x:dataValidations count="6">
    <x:dataValidation type="list" errorStyle="stop" showErrorMessage="1" errorTitle="Choose a listed value" error="Use one of the values in this cell’s list." sqref="B15:B18">
      <x:formula1>"Yes,No"</x:formula1>
    </x:dataValidation>
    <x:dataValidation type="list" errorStyle="stop" showErrorMessage="1" errorTitle="Choose a listed value" error="Use one of the values in this cell’s list." sqref="C15">
      <x:formula1>"Yes,No"</x:formula1>
    </x:dataValidation>
    <x:dataValidation type="list" errorStyle="stop" showErrorMessage="1" errorTitle="Choose a listed value" error="Use one of the values in this cell’s list." sqref="C16">
      <x:formula1>"Yes,No"</x:formula1>
    </x:dataValidation>
    <x:dataValidation type="list" errorStyle="stop" showErrorMessage="1" errorTitle="Choose a listed value" error="Use one of the values in this cell’s list." sqref="C18">
      <x:formula1>"Yes,No"</x:formula1>
    </x:dataValidation>
    <x:dataValidation type="list" errorStyle="stop" showErrorMessage="1" errorTitle="Choose a listed value" error="Use one of the values in this cell’s list." sqref="D17">
      <x:formula1>"Yes,No"</x:formula1>
    </x:dataValidation>
    <x:dataValidation type="list" errorStyle="stop" showErrorMessage="1" errorTitle="Choose a listed value" error="Use one of the values in this cell’s list." sqref="E15:E18">
      <x:formula1>"Confirmed,Not confirmed,Not reviewed"</x:formula1>
    </x:dataValidation>
  </x:dataValidations>
  <x:pageMargins left="0.7" right="0.7" top="0.75" bottom="0.75" header="0.3" footer="0.3"/>
  <x:tableParts count="2">
    <x:tablePart xmlns:r="http://schemas.openxmlformats.org/officeDocument/2006/relationships" r:id="R4ab07c7576644651"/>
    <x:tablePart xmlns:r="http://schemas.openxmlformats.org/officeDocument/2006/relationships" r:id="Rc39b2c6aba0342a9"/>
  </x:tableParts>
</x:worksheet>
</file>

<file path=xl/worksheets/sheet3.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0" hidden="0" customWidth="1"/>
    <x:col min="2" max="2" width="36" hidden="0" customWidth="1"/>
    <x:col min="3" max="3" width="18" hidden="0" customWidth="1"/>
    <x:col min="4" max="4" width="18" hidden="0" customWidth="1"/>
    <x:col min="5" max="5" width="19" hidden="0" customWidth="1"/>
    <x:col min="6" max="6" width="19" hidden="0" customWidth="1"/>
    <x:col min="7" max="7" width="19" hidden="0" customWidth="1"/>
    <x:col min="8" max="8" width="17" hidden="0" customWidth="1"/>
    <x:col min="9" max="9" width="21" hidden="0" customWidth="1"/>
    <x:col min="10" max="10" width="21" hidden="0" customWidth="1"/>
    <x:col min="11" max="11" width="20" hidden="0" customWidth="1"/>
    <x:col min="12" max="12" width="12" hidden="0" customWidth="1"/>
    <x:col min="13" max="13" width="22" hidden="0" customWidth="1"/>
    <x:col min="14" max="14" width="20" hidden="0" customWidth="1"/>
  </x:cols>
  <x:sheetData>
    <x:row r="1" ht="25" customHeight="1">
      <x:c r="A1" s="2"/>
      <x:c r="B1" s="2"/>
      <x:c r="C1" s="2"/>
      <x:c r="D1" s="2"/>
      <x:c r="E1" s="2"/>
      <x:c r="F1" s="2"/>
      <x:c r="G1" s="2"/>
      <x:c r="H1" s="2"/>
      <x:c r="I1" s="2"/>
      <x:c r="J1" s="2"/>
      <x:c r="K1" s="2"/>
      <x:c r="L1" s="2"/>
      <x:c r="M1" s="2"/>
      <x:c r="N1" s="2"/>
    </x:row>
    <x:row r="2" ht="37" customHeight="1">
      <x:c r="A2" s="4" t="str">
        <x:v>Registered-point review</x:v>
      </x:c>
      <x:c r="B2" s="4" t="str">
        <x:v>Registered-point review</x:v>
      </x:c>
      <x:c r="C2" s="4" t="str">
        <x:v>Registered-point review</x:v>
      </x:c>
      <x:c r="D2" s="4" t="str">
        <x:v>Registered-point review</x:v>
      </x:c>
      <x:c r="E2" s="4" t="str">
        <x:v>Registered-point review</x:v>
      </x:c>
      <x:c r="F2" s="4" t="str">
        <x:v>Registered-point review</x:v>
      </x:c>
      <x:c r="G2" s="4" t="str">
        <x:v>Registered-point review</x:v>
      </x:c>
      <x:c r="H2" s="4" t="str">
        <x:v>Registered-point review</x:v>
      </x:c>
      <x:c r="I2" s="4" t="str">
        <x:v>Registered-point review</x:v>
      </x:c>
      <x:c r="J2" s="4" t="str">
        <x:v>Registered-point review</x:v>
      </x:c>
      <x:c r="K2" s="4" t="str">
        <x:v>Registered-point review</x:v>
      </x:c>
      <x:c r="L2" s="4" t="str">
        <x:v>Registered-point review</x:v>
      </x:c>
      <x:c r="M2" s="4" t="str">
        <x:v>Registered-point review</x:v>
      </x:c>
      <x:c r="N2" s="4" t="str">
        <x:v>Registered-point review</x:v>
      </x:c>
    </x:row>
    <x:row r="3" ht="7" customHeight="1">
      <x:c r="A3" s="5"/>
      <x:c r="B3" s="5"/>
      <x:c r="C3" s="5"/>
      <x:c r="D3" s="5"/>
      <x:c r="E3" s="5"/>
      <x:c r="F3" s="5"/>
      <x:c r="G3" s="5"/>
      <x:c r="H3" s="5"/>
      <x:c r="I3" s="5"/>
      <x:c r="J3" s="5"/>
      <x:c r="K3" s="5"/>
      <x:c r="L3" s="5"/>
      <x:c r="M3" s="5"/>
      <x:c r="N3" s="5"/>
    </x:row>
    <x:row r="4" ht="34" customHeight="1">
      <x:c r="A4" s="7" t="str">
        <x:v>Source and package keys link each comparison. Registration checks the source and recorded point type. Initial review uses the original requirement. Final recheck uses the approved current requirement and human decisions.</x:v>
      </x:c>
      <x:c r="B4" s="7" t="str">
        <x:v>Source and package keys link each comparison. Registration checks the source and recorded point type. Initial review uses the original requirement. Final recheck uses the approved current requirement and human decisions.</x:v>
      </x:c>
      <x:c r="C4" s="7" t="str">
        <x:v>Source and package keys link each comparison. Registration checks the source and recorded point type. Initial review uses the original requirement. Final recheck uses the approved current requirement and human decisions.</x:v>
      </x:c>
      <x:c r="D4" s="7" t="str">
        <x:v>Source and package keys link each comparison. Registration checks the source and recorded point type. Initial review uses the original requirement. Final recheck uses the approved current requirement and human decisions.</x:v>
      </x:c>
      <x:c r="E4" s="7" t="str">
        <x:v>Source and package keys link each comparison. Registration checks the source and recorded point type. Initial review uses the original requirement. Final recheck uses the approved current requirement and human decisions.</x:v>
      </x:c>
      <x:c r="F4" s="7" t="str">
        <x:v>Source and package keys link each comparison. Registration checks the source and recorded point type. Initial review uses the original requirement. Final recheck uses the approved current requirement and human decisions.</x:v>
      </x:c>
      <x:c r="G4" s="7" t="str">
        <x:v>Source and package keys link each comparison. Registration checks the source and recorded point type. Initial review uses the original requirement. Final recheck uses the approved current requirement and human decisions.</x:v>
      </x:c>
      <x:c r="H4" s="7" t="str">
        <x:v>Source and package keys link each comparison. Registration checks the source and recorded point type. Initial review uses the original requirement. Final recheck uses the approved current requirement and human decisions.</x:v>
      </x:c>
      <x:c r="I4" s="7" t="str">
        <x:v>Source and package keys link each comparison. Registration checks the source and recorded point type. Initial review uses the original requirement. Final recheck uses the approved current requirement and human decisions.</x:v>
      </x:c>
      <x:c r="J4" s="7" t="str">
        <x:v>Source and package keys link each comparison. Registration checks the source and recorded point type. Initial review uses the original requirement. Final recheck uses the approved current requirement and human decisions.</x:v>
      </x:c>
      <x:c r="K4" s="7" t="str">
        <x:v>Source and package keys link each comparison. Registration checks the source and recorded point type. Initial review uses the original requirement. Final recheck uses the approved current requirement and human decisions.</x:v>
      </x:c>
      <x:c r="L4" s="7" t="str">
        <x:v>Source and package keys link each comparison. Registration checks the source and recorded point type. Initial review uses the original requirement. Final recheck uses the approved current requirement and human decisions.</x:v>
      </x:c>
      <x:c r="M4" s="7" t="str">
        <x:v>Source and package keys link each comparison. Registration checks the source and recorded point type. Initial review uses the original requirement. Final recheck uses the approved current requirement and human decisions.</x:v>
      </x:c>
      <x:c r="N4" s="7" t="str">
        <x:v>Source and package keys link each comparison. Registration checks the source and recorded point type. Initial review uses the original requirement. Final recheck uses the approved current requirement and human decisions.</x:v>
      </x:c>
    </x:row>
    <x:row r="5" ht="25" customHeight="1">
      <x:c r="A5" s="2"/>
      <x:c r="B5" s="2"/>
      <x:c r="C5" s="2"/>
      <x:c r="D5" s="2"/>
      <x:c r="E5" s="2"/>
      <x:c r="F5" s="2"/>
      <x:c r="G5" s="2"/>
      <x:c r="H5" s="2"/>
      <x:c r="I5" s="2"/>
      <x:c r="J5" s="2"/>
      <x:c r="K5" s="2"/>
      <x:c r="L5" s="2"/>
      <x:c r="M5" s="2"/>
      <x:c r="N5" s="2"/>
    </x:row>
    <x:row r="6" ht="44" customHeight="1">
      <x:c r="A6" s="16" t="str">
        <x:v>Point ID</x:v>
      </x:c>
      <x:c r="B6" s="17" t="str">
        <x:v>Point name</x:v>
      </x:c>
      <x:c r="C6" s="17" t="str">
        <x:v>Registration and type</x:v>
      </x:c>
      <x:c r="D6" s="17" t="str">
        <x:v>Display</x:v>
      </x:c>
      <x:c r="E6" s="17" t="str">
        <x:v>Graphic binding</x:v>
      </x:c>
      <x:c r="F6" s="17" t="str">
        <x:v>Location</x:v>
      </x:c>
      <x:c r="G6" s="17" t="str">
        <x:v>Access</x:v>
      </x:c>
      <x:c r="H6" s="17" t="str">
        <x:v>Unit</x:v>
      </x:c>
      <x:c r="I6" s="17" t="str">
        <x:v>State labels</x:v>
      </x:c>
      <x:c r="J6" s="17" t="str">
        <x:v>Selected numeric value</x:v>
      </x:c>
      <x:c r="K6" s="17" t="str">
        <x:v>Technical comparison</x:v>
      </x:c>
      <x:c r="L6" s="17" t="str">
        <x:v>Finding</x:v>
      </x:c>
      <x:c r="M6" s="17" t="str">
        <x:v>Review outcome</x:v>
      </x:c>
      <x:c r="N6" s="18" t="str">
        <x:v>Trend source</x:v>
      </x:c>
    </x:row>
    <x:row r="7" ht="42" customHeight="1">
      <x:c r="A7" s="27" t="str">
        <x:v>P01</x:v>
      </x:c>
      <x:c r="B7" s="21" t="str">
        <x:f>IF(COUNTIFS('Point requirements'!$A$7:$A$34,$A7)&lt;&gt;1,"Source missing",INDEX('Point requirements'!$B$7:$B$34,MATCH($A7,'Point requirements'!$A$7:$A$34,0)))</x:f>
        <x:v>AHU start/stop command</x:v>
      </x:c>
      <x:c r="C7" s="21" t="str">
        <x:f>IF(OR($A7="",COUNTIFS('Point requirements'!$A$7:$A$34,$A7)&lt;&gt;1,COUNTIFS('Config records'!$A$7:$A$62,"Baseline:"&amp;$A7)&lt;&gt;1,COUNTIFS($A$7:$A$34,$A7)&lt;&gt;1),"Source missing",IF(OR(INDEX('Point requirements'!$C$7:$C$34,MATCH($A7,'Point requirements'!$A$7:$A$34,0))="",INDEX('Point requirements'!$O$7:$O$34,MATCH($A7,'Point requirements'!$A$7:$A$34,0))="",INDEX('Config records'!$D$7:$D$62,MATCH("Baseline:"&amp;$A7,'Config records'!$A$7:$A$62,0))="",INDEX('Config records'!$N$7:$N$62,MATCH("Baseline:"&amp;$A7,'Config records'!$A$7:$A$62,0))=""),"Source missing",IF(AND(INDEX('Config records'!$D$7:$D$62,MATCH("Baseline:"&amp;$A7,'Config records'!$A$7:$A$62,0))=INDEX('Point requirements'!$C$7:$C$34,MATCH($A7,'Point requirements'!$A$7:$A$34,0)),INDEX('Config records'!$N$7:$N$62,MATCH("Baseline:"&amp;$A7,'Config records'!$A$7:$A$62,0))=INDEX('Point requirements'!$O$7:$O$34,MATCH($A7,'Point requirements'!$A$7:$A$34,0))),"Aligned","Mismatch")))</x:f>
        <x:v>Aligned</x:v>
      </x:c>
      <x:c r="D7" s="21" t="str">
        <x:f>IF(C7="Source missing","Source missing",IF(AND(INDEX('Point requirements'!$D$7:$D$34,MATCH($A7,'Point requirements'!$A$7:$A$34,0))&lt;&gt;"Yes",INDEX('Point requirements'!$D$7:$D$34,MATCH($A7,'Point requirements'!$A$7:$A$34,0))&lt;&gt;"No"),"Source missing",IF(INDEX('Point requirements'!$D$7:$D$34,MATCH($A7,'Point requirements'!$A$7:$A$34,0))="No","Not required",IF(INDEX('Config records'!$E$7:$E$62,MATCH("Baseline:"&amp;$A7,'Config records'!$A$7:$A$62,0))="Yes","Aligned","Missing display"))))</x:f>
        <x:v>Aligned</x:v>
      </x:c>
      <x:c r="E7" s="21" t="str">
        <x:f>IF(C7="Source missing","Source missing",IF(D7="Not required","Not applicable",IF(D7="Missing display","Not assessed",IF(INDEX('Config records'!$F$7:$F$62,MATCH("Baseline:"&amp;$A7,'Config records'!$A$7:$A$62,0))=INDEX('Point requirements'!$C$7:$C$34,MATCH($A7,'Point requirements'!$A$7:$A$34,0)),"Aligned","Mismatch"))))</x:f>
        <x:v>Aligned</x:v>
      </x:c>
      <x:c r="F7" s="21" t="str">
        <x:f>IF(C7="Source missing","Source missing",IF(D7="Not required","Not applicable",IF(D7="Missing display","Not assessed",IF(INDEX('Config records'!$G$7:$G$62,MATCH("Baseline:"&amp;$A7,'Config records'!$A$7:$A$62,0))=INDEX('Point requirements'!$E$7:$E$34,MATCH($A7,'Point requirements'!$A$7:$A$34,0)),"Aligned","Mismatch"))))</x:f>
        <x:v>Aligned</x:v>
      </x:c>
      <x:c r="G7" s="21" t="str">
        <x:f>IF(C7="Source missing","Source missing",IF(D7="Not required","Not applicable",IF(D7="Missing display","Not assessed",IF(INDEX('Config records'!$H$7:$H$62,MATCH("Baseline:"&amp;$A7,'Config records'!$A$7:$A$62,0))=INDEX('Point requirements'!$F$7:$F$34,MATCH($A7,'Point requirements'!$A$7:$A$34,0)),"Aligned","Mismatch"))))</x:f>
        <x:v>Aligned</x:v>
      </x:c>
      <x:c r="H7" s="21" t="str">
        <x:f>IF(C7="Source missing","Source missing",IF(D7="Not required","Not applicable",IF(D7="Missing display","Not assessed",IF(INDEX('Config records'!$I$7:$I$62,MATCH("Baseline:"&amp;$A7,'Config records'!$A$7:$A$62,0))=INDEX('Point requirements'!$G$7:$G$34,MATCH($A7,'Point requirements'!$A$7:$A$34,0)),"Aligned","Mismatch"))))</x:f>
        <x:v>Aligned</x:v>
      </x:c>
      <x:c r="I7" s="21" t="str">
        <x:f>IF(C7="Source missing","Source missing",IF(D7="Not required","Not applicable",IF(D7="Missing display","Not assessed",IF(INDEX('Config records'!$J$7:$J$62,MATCH("Baseline:"&amp;$A7,'Config records'!$A$7:$A$62,0))=INDEX('Point requirements'!$H$7:$H$34,MATCH($A7,'Point requirements'!$A$7:$A$34,0)),"Aligned","Mismatch"))))</x:f>
        <x:v>Aligned</x:v>
      </x:c>
      <x:c r="J7" s="21" t="str">
        <x:f>IF(C7="Source missing","Source missing",IF(INDEX('Point requirements'!$I$7:$I$34,MATCH($A7,'Point requirements'!$A$7:$A$34,0))="Not specified","Not applicable",IF(AND(ISNUMBER(INDEX('Point requirements'!$I$7:$I$34,MATCH($A7,'Point requirements'!$A$7:$A$34,0))),ISNUMBER(INDEX('Config records'!$K$7:$K$62,MATCH("Baseline:"&amp;$A7,'Config records'!$A$7:$A$62,0)))),IF(INDEX('Config records'!$K$7:$K$62,MATCH("Baseline:"&amp;$A7,'Config records'!$A$7:$A$62,0))=INDEX('Point requirements'!$I$7:$I$34,MATCH($A7,'Point requirements'!$A$7:$A$34,0)),"Aligned","Mismatch"),"Not recorded")))</x:f>
        <x:v>Not applicable</x:v>
      </x:c>
      <x:c r="K7" s="21" t="str">
        <x:f>IF(OR(COUNTIFS(C7:J7,"Source missing")&gt;0,N7="Source missing"),"Source missing",IF(AND(COUNTIFS(C7:J7,"Aligned")+COUNTIFS(C7:J7,"Not applicable")+COUNTIFS(C7:J7,"Not required")=8,OR(N7="Aligned",N7="Not applicable")),"Aligned","Follow-up"))</x:f>
        <x:v>Aligned</x:v>
      </x:c>
      <x:c r="L7" s="27" t="str">
        <x:f>IF(COUNTIFS('Point requirements'!$A$7:$A$34,$A7)&lt;&gt;1,"Source missing",INDEX('Point requirements'!$K$7:$K$34,MATCH($A7,'Point requirements'!$A$7:$A$34,0)))</x:f>
        <x:v>None</x:v>
      </x:c>
      <x:c r="M7" s="21" t="str">
        <x:f>IF(AND(K7="Aligned",L7="None"),"Aligned","Follow-up")</x:f>
        <x:v>Aligned</x:v>
      </x:c>
      <x:c r="N7" s="21" t="str">
        <x:f>IF(C7="Source missing","Source missing",IF(INDEX('Point requirements'!$N$7:$N$34,MATCH($A7,'Point requirements'!$A$7:$A$34,0))="Not required","Not applicable",IF(INDEX('Config records'!$M$7:$M$62,MATCH("Baseline:"&amp;$A7,'Config records'!$A$7:$A$62,0))=INDEX('Point requirements'!$N$7:$N$34,MATCH($A7,'Point requirements'!$A$7:$A$34,0)),"Aligned","Mismatch")))</x:f>
        <x:v>Not applicable</x:v>
      </x:c>
    </x:row>
    <x:row r="8" ht="42" customHeight="1">
      <x:c r="A8" s="28" t="str">
        <x:v>P02</x:v>
      </x:c>
      <x:c r="B8" s="24" t="str">
        <x:f>IF(COUNTIFS('Point requirements'!$A$7:$A$34,$A8)&lt;&gt;1,"Source missing",INDEX('Point requirements'!$B$7:$B$34,MATCH($A8,'Point requirements'!$A$7:$A$34,0)))</x:f>
        <x:v>Supply-fan run status</x:v>
      </x:c>
      <x:c r="C8" s="24" t="str">
        <x:f>IF(OR($A8="",COUNTIFS('Point requirements'!$A$7:$A$34,$A8)&lt;&gt;1,COUNTIFS('Config records'!$A$7:$A$62,"Baseline:"&amp;$A8)&lt;&gt;1,COUNTIFS($A$7:$A$34,$A8)&lt;&gt;1),"Source missing",IF(OR(INDEX('Point requirements'!$C$7:$C$34,MATCH($A8,'Point requirements'!$A$7:$A$34,0))="",INDEX('Point requirements'!$O$7:$O$34,MATCH($A8,'Point requirements'!$A$7:$A$34,0))="",INDEX('Config records'!$D$7:$D$62,MATCH("Baseline:"&amp;$A8,'Config records'!$A$7:$A$62,0))="",INDEX('Config records'!$N$7:$N$62,MATCH("Baseline:"&amp;$A8,'Config records'!$A$7:$A$62,0))=""),"Source missing",IF(AND(INDEX('Config records'!$D$7:$D$62,MATCH("Baseline:"&amp;$A8,'Config records'!$A$7:$A$62,0))=INDEX('Point requirements'!$C$7:$C$34,MATCH($A8,'Point requirements'!$A$7:$A$34,0)),INDEX('Config records'!$N$7:$N$62,MATCH("Baseline:"&amp;$A8,'Config records'!$A$7:$A$62,0))=INDEX('Point requirements'!$O$7:$O$34,MATCH($A8,'Point requirements'!$A$7:$A$34,0))),"Aligned","Mismatch")))</x:f>
        <x:v>Aligned</x:v>
      </x:c>
      <x:c r="D8" s="24" t="str">
        <x:f>IF(C8="Source missing","Source missing",IF(AND(INDEX('Point requirements'!$D$7:$D$34,MATCH($A8,'Point requirements'!$A$7:$A$34,0))&lt;&gt;"Yes",INDEX('Point requirements'!$D$7:$D$34,MATCH($A8,'Point requirements'!$A$7:$A$34,0))&lt;&gt;"No"),"Source missing",IF(INDEX('Point requirements'!$D$7:$D$34,MATCH($A8,'Point requirements'!$A$7:$A$34,0))="No","Not required",IF(INDEX('Config records'!$E$7:$E$62,MATCH("Baseline:"&amp;$A8,'Config records'!$A$7:$A$62,0))="Yes","Aligned","Missing display"))))</x:f>
        <x:v>Aligned</x:v>
      </x:c>
      <x:c r="E8" s="24" t="str">
        <x:f>IF(C8="Source missing","Source missing",IF(D8="Not required","Not applicable",IF(D8="Missing display","Not assessed",IF(INDEX('Config records'!$F$7:$F$62,MATCH("Baseline:"&amp;$A8,'Config records'!$A$7:$A$62,0))=INDEX('Point requirements'!$C$7:$C$34,MATCH($A8,'Point requirements'!$A$7:$A$34,0)),"Aligned","Mismatch"))))</x:f>
        <x:v>Aligned</x:v>
      </x:c>
      <x:c r="F8" s="24" t="str">
        <x:f>IF(C8="Source missing","Source missing",IF(D8="Not required","Not applicable",IF(D8="Missing display","Not assessed",IF(INDEX('Config records'!$G$7:$G$62,MATCH("Baseline:"&amp;$A8,'Config records'!$A$7:$A$62,0))=INDEX('Point requirements'!$E$7:$E$34,MATCH($A8,'Point requirements'!$A$7:$A$34,0)),"Aligned","Mismatch"))))</x:f>
        <x:v>Aligned</x:v>
      </x:c>
      <x:c r="G8" s="24" t="str">
        <x:f>IF(C8="Source missing","Source missing",IF(D8="Not required","Not applicable",IF(D8="Missing display","Not assessed",IF(INDEX('Config records'!$H$7:$H$62,MATCH("Baseline:"&amp;$A8,'Config records'!$A$7:$A$62,0))=INDEX('Point requirements'!$F$7:$F$34,MATCH($A8,'Point requirements'!$A$7:$A$34,0)),"Aligned","Mismatch"))))</x:f>
        <x:v>Aligned</x:v>
      </x:c>
      <x:c r="H8" s="24" t="str">
        <x:f>IF(C8="Source missing","Source missing",IF(D8="Not required","Not applicable",IF(D8="Missing display","Not assessed",IF(INDEX('Config records'!$I$7:$I$62,MATCH("Baseline:"&amp;$A8,'Config records'!$A$7:$A$62,0))=INDEX('Point requirements'!$G$7:$G$34,MATCH($A8,'Point requirements'!$A$7:$A$34,0)),"Aligned","Mismatch"))))</x:f>
        <x:v>Aligned</x:v>
      </x:c>
      <x:c r="I8" s="24" t="str">
        <x:f>IF(C8="Source missing","Source missing",IF(D8="Not required","Not applicable",IF(D8="Missing display","Not assessed",IF(INDEX('Config records'!$J$7:$J$62,MATCH("Baseline:"&amp;$A8,'Config records'!$A$7:$A$62,0))=INDEX('Point requirements'!$H$7:$H$34,MATCH($A8,'Point requirements'!$A$7:$A$34,0)),"Aligned","Mismatch"))))</x:f>
        <x:v>Aligned</x:v>
      </x:c>
      <x:c r="J8" s="24" t="str">
        <x:f>IF(C8="Source missing","Source missing",IF(INDEX('Point requirements'!$I$7:$I$34,MATCH($A8,'Point requirements'!$A$7:$A$34,0))="Not specified","Not applicable",IF(AND(ISNUMBER(INDEX('Point requirements'!$I$7:$I$34,MATCH($A8,'Point requirements'!$A$7:$A$34,0))),ISNUMBER(INDEX('Config records'!$K$7:$K$62,MATCH("Baseline:"&amp;$A8,'Config records'!$A$7:$A$62,0)))),IF(INDEX('Config records'!$K$7:$K$62,MATCH("Baseline:"&amp;$A8,'Config records'!$A$7:$A$62,0))=INDEX('Point requirements'!$I$7:$I$34,MATCH($A8,'Point requirements'!$A$7:$A$34,0)),"Aligned","Mismatch"),"Not recorded")))</x:f>
        <x:v>Not applicable</x:v>
      </x:c>
      <x:c r="K8" s="24" t="str">
        <x:f>IF(OR(COUNTIFS(C8:J8,"Source missing")&gt;0,N8="Source missing"),"Source missing",IF(AND(COUNTIFS(C8:J8,"Aligned")+COUNTIFS(C8:J8,"Not applicable")+COUNTIFS(C8:J8,"Not required")=8,OR(N8="Aligned",N8="Not applicable")),"Aligned","Follow-up"))</x:f>
        <x:v>Aligned</x:v>
      </x:c>
      <x:c r="L8" s="28" t="str">
        <x:f>IF(COUNTIFS('Point requirements'!$A$7:$A$34,$A8)&lt;&gt;1,"Source missing",INDEX('Point requirements'!$K$7:$K$34,MATCH($A8,'Point requirements'!$A$7:$A$34,0)))</x:f>
        <x:v>None</x:v>
      </x:c>
      <x:c r="M8" s="24" t="str">
        <x:f>IF(AND(K8="Aligned",L8="None"),"Aligned","Follow-up")</x:f>
        <x:v>Aligned</x:v>
      </x:c>
      <x:c r="N8" s="24" t="str">
        <x:f>IF(C8="Source missing","Source missing",IF(INDEX('Point requirements'!$N$7:$N$34,MATCH($A8,'Point requirements'!$A$7:$A$34,0))="Not required","Not applicable",IF(INDEX('Config records'!$M$7:$M$62,MATCH("Baseline:"&amp;$A8,'Config records'!$A$7:$A$62,0))=INDEX('Point requirements'!$N$7:$N$34,MATCH($A8,'Point requirements'!$A$7:$A$34,0)),"Aligned","Mismatch")))</x:f>
        <x:v>Not applicable</x:v>
      </x:c>
    </x:row>
    <x:row r="9" ht="42" customHeight="1">
      <x:c r="A9" s="27" t="str">
        <x:v>P03</x:v>
      </x:c>
      <x:c r="B9" s="21" t="str">
        <x:f>IF(COUNTIFS('Point requirements'!$A$7:$A$34,$A9)&lt;&gt;1,"Source missing",INDEX('Point requirements'!$B$7:$B$34,MATCH($A9,'Point requirements'!$A$7:$A$34,0)))</x:f>
        <x:v>Supply-fan fault alarm</x:v>
      </x:c>
      <x:c r="C9" s="21" t="str">
        <x:f>IF(OR($A9="",COUNTIFS('Point requirements'!$A$7:$A$34,$A9)&lt;&gt;1,COUNTIFS('Config records'!$A$7:$A$62,"Baseline:"&amp;$A9)&lt;&gt;1,COUNTIFS($A$7:$A$34,$A9)&lt;&gt;1),"Source missing",IF(OR(INDEX('Point requirements'!$C$7:$C$34,MATCH($A9,'Point requirements'!$A$7:$A$34,0))="",INDEX('Point requirements'!$O$7:$O$34,MATCH($A9,'Point requirements'!$A$7:$A$34,0))="",INDEX('Config records'!$D$7:$D$62,MATCH("Baseline:"&amp;$A9,'Config records'!$A$7:$A$62,0))="",INDEX('Config records'!$N$7:$N$62,MATCH("Baseline:"&amp;$A9,'Config records'!$A$7:$A$62,0))=""),"Source missing",IF(AND(INDEX('Config records'!$D$7:$D$62,MATCH("Baseline:"&amp;$A9,'Config records'!$A$7:$A$62,0))=INDEX('Point requirements'!$C$7:$C$34,MATCH($A9,'Point requirements'!$A$7:$A$34,0)),INDEX('Config records'!$N$7:$N$62,MATCH("Baseline:"&amp;$A9,'Config records'!$A$7:$A$62,0))=INDEX('Point requirements'!$O$7:$O$34,MATCH($A9,'Point requirements'!$A$7:$A$34,0))),"Aligned","Mismatch")))</x:f>
        <x:v>Aligned</x:v>
      </x:c>
      <x:c r="D9" s="21" t="str">
        <x:f>IF(C9="Source missing","Source missing",IF(AND(INDEX('Point requirements'!$D$7:$D$34,MATCH($A9,'Point requirements'!$A$7:$A$34,0))&lt;&gt;"Yes",INDEX('Point requirements'!$D$7:$D$34,MATCH($A9,'Point requirements'!$A$7:$A$34,0))&lt;&gt;"No"),"Source missing",IF(INDEX('Point requirements'!$D$7:$D$34,MATCH($A9,'Point requirements'!$A$7:$A$34,0))="No","Not required",IF(INDEX('Config records'!$E$7:$E$62,MATCH("Baseline:"&amp;$A9,'Config records'!$A$7:$A$62,0))="Yes","Aligned","Missing display"))))</x:f>
        <x:v>Aligned</x:v>
      </x:c>
      <x:c r="E9" s="21" t="str">
        <x:f>IF(C9="Source missing","Source missing",IF(D9="Not required","Not applicable",IF(D9="Missing display","Not assessed",IF(INDEX('Config records'!$F$7:$F$62,MATCH("Baseline:"&amp;$A9,'Config records'!$A$7:$A$62,0))=INDEX('Point requirements'!$C$7:$C$34,MATCH($A9,'Point requirements'!$A$7:$A$34,0)),"Aligned","Mismatch"))))</x:f>
        <x:v>Aligned</x:v>
      </x:c>
      <x:c r="F9" s="21" t="str">
        <x:f>IF(C9="Source missing","Source missing",IF(D9="Not required","Not applicable",IF(D9="Missing display","Not assessed",IF(INDEX('Config records'!$G$7:$G$62,MATCH("Baseline:"&amp;$A9,'Config records'!$A$7:$A$62,0))=INDEX('Point requirements'!$E$7:$E$34,MATCH($A9,'Point requirements'!$A$7:$A$34,0)),"Aligned","Mismatch"))))</x:f>
        <x:v>Aligned</x:v>
      </x:c>
      <x:c r="G9" s="21" t="str">
        <x:f>IF(C9="Source missing","Source missing",IF(D9="Not required","Not applicable",IF(D9="Missing display","Not assessed",IF(INDEX('Config records'!$H$7:$H$62,MATCH("Baseline:"&amp;$A9,'Config records'!$A$7:$A$62,0))=INDEX('Point requirements'!$F$7:$F$34,MATCH($A9,'Point requirements'!$A$7:$A$34,0)),"Aligned","Mismatch"))))</x:f>
        <x:v>Aligned</x:v>
      </x:c>
      <x:c r="H9" s="21" t="str">
        <x:f>IF(C9="Source missing","Source missing",IF(D9="Not required","Not applicable",IF(D9="Missing display","Not assessed",IF(INDEX('Config records'!$I$7:$I$62,MATCH("Baseline:"&amp;$A9,'Config records'!$A$7:$A$62,0))=INDEX('Point requirements'!$G$7:$G$34,MATCH($A9,'Point requirements'!$A$7:$A$34,0)),"Aligned","Mismatch"))))</x:f>
        <x:v>Aligned</x:v>
      </x:c>
      <x:c r="I9" s="21" t="str">
        <x:f>IF(C9="Source missing","Source missing",IF(D9="Not required","Not applicable",IF(D9="Missing display","Not assessed",IF(INDEX('Config records'!$J$7:$J$62,MATCH("Baseline:"&amp;$A9,'Config records'!$A$7:$A$62,0))=INDEX('Point requirements'!$H$7:$H$34,MATCH($A9,'Point requirements'!$A$7:$A$34,0)),"Aligned","Mismatch"))))</x:f>
        <x:v>Aligned</x:v>
      </x:c>
      <x:c r="J9" s="21" t="str">
        <x:f>IF(C9="Source missing","Source missing",IF(INDEX('Point requirements'!$I$7:$I$34,MATCH($A9,'Point requirements'!$A$7:$A$34,0))="Not specified","Not applicable",IF(AND(ISNUMBER(INDEX('Point requirements'!$I$7:$I$34,MATCH($A9,'Point requirements'!$A$7:$A$34,0))),ISNUMBER(INDEX('Config records'!$K$7:$K$62,MATCH("Baseline:"&amp;$A9,'Config records'!$A$7:$A$62,0)))),IF(INDEX('Config records'!$K$7:$K$62,MATCH("Baseline:"&amp;$A9,'Config records'!$A$7:$A$62,0))=INDEX('Point requirements'!$I$7:$I$34,MATCH($A9,'Point requirements'!$A$7:$A$34,0)),"Aligned","Mismatch"),"Not recorded")))</x:f>
        <x:v>Not applicable</x:v>
      </x:c>
      <x:c r="K9" s="21" t="str">
        <x:f>IF(OR(COUNTIFS(C9:J9,"Source missing")&gt;0,N9="Source missing"),"Source missing",IF(AND(COUNTIFS(C9:J9,"Aligned")+COUNTIFS(C9:J9,"Not applicable")+COUNTIFS(C9:J9,"Not required")=8,OR(N9="Aligned",N9="Not applicable")),"Aligned","Follow-up"))</x:f>
        <x:v>Aligned</x:v>
      </x:c>
      <x:c r="L9" s="27" t="str">
        <x:f>IF(COUNTIFS('Point requirements'!$A$7:$A$34,$A9)&lt;&gt;1,"Source missing",INDEX('Point requirements'!$K$7:$K$34,MATCH($A9,'Point requirements'!$A$7:$A$34,0)))</x:f>
        <x:v>None</x:v>
      </x:c>
      <x:c r="M9" s="21" t="str">
        <x:f>IF(AND(K9="Aligned",L9="None"),"Aligned","Follow-up")</x:f>
        <x:v>Aligned</x:v>
      </x:c>
      <x:c r="N9" s="21" t="str">
        <x:f>IF(C9="Source missing","Source missing",IF(INDEX('Point requirements'!$N$7:$N$34,MATCH($A9,'Point requirements'!$A$7:$A$34,0))="Not required","Not applicable",IF(INDEX('Config records'!$M$7:$M$62,MATCH("Baseline:"&amp;$A9,'Config records'!$A$7:$A$62,0))=INDEX('Point requirements'!$N$7:$N$34,MATCH($A9,'Point requirements'!$A$7:$A$34,0)),"Aligned","Mismatch")))</x:f>
        <x:v>Not applicable</x:v>
      </x:c>
    </x:row>
    <x:row r="10" ht="42" customHeight="1">
      <x:c r="A10" s="28" t="str">
        <x:v>P04</x:v>
      </x:c>
      <x:c r="B10" s="24" t="str">
        <x:f>IF(COUNTIFS('Point requirements'!$A$7:$A$34,$A10)&lt;&gt;1,"Source missing",INDEX('Point requirements'!$B$7:$B$34,MATCH($A10,'Point requirements'!$A$7:$A$34,0)))</x:f>
        <x:v>Return-fan run status</x:v>
      </x:c>
      <x:c r="C10" s="24" t="str">
        <x:f>IF(OR($A10="",COUNTIFS('Point requirements'!$A$7:$A$34,$A10)&lt;&gt;1,COUNTIFS('Config records'!$A$7:$A$62,"Baseline:"&amp;$A10)&lt;&gt;1,COUNTIFS($A$7:$A$34,$A10)&lt;&gt;1),"Source missing",IF(OR(INDEX('Point requirements'!$C$7:$C$34,MATCH($A10,'Point requirements'!$A$7:$A$34,0))="",INDEX('Point requirements'!$O$7:$O$34,MATCH($A10,'Point requirements'!$A$7:$A$34,0))="",INDEX('Config records'!$D$7:$D$62,MATCH("Baseline:"&amp;$A10,'Config records'!$A$7:$A$62,0))="",INDEX('Config records'!$N$7:$N$62,MATCH("Baseline:"&amp;$A10,'Config records'!$A$7:$A$62,0))=""),"Source missing",IF(AND(INDEX('Config records'!$D$7:$D$62,MATCH("Baseline:"&amp;$A10,'Config records'!$A$7:$A$62,0))=INDEX('Point requirements'!$C$7:$C$34,MATCH($A10,'Point requirements'!$A$7:$A$34,0)),INDEX('Config records'!$N$7:$N$62,MATCH("Baseline:"&amp;$A10,'Config records'!$A$7:$A$62,0))=INDEX('Point requirements'!$O$7:$O$34,MATCH($A10,'Point requirements'!$A$7:$A$34,0))),"Aligned","Mismatch")))</x:f>
        <x:v>Aligned</x:v>
      </x:c>
      <x:c r="D10" s="24" t="str">
        <x:f>IF(C10="Source missing","Source missing",IF(AND(INDEX('Point requirements'!$D$7:$D$34,MATCH($A10,'Point requirements'!$A$7:$A$34,0))&lt;&gt;"Yes",INDEX('Point requirements'!$D$7:$D$34,MATCH($A10,'Point requirements'!$A$7:$A$34,0))&lt;&gt;"No"),"Source missing",IF(INDEX('Point requirements'!$D$7:$D$34,MATCH($A10,'Point requirements'!$A$7:$A$34,0))="No","Not required",IF(INDEX('Config records'!$E$7:$E$62,MATCH("Baseline:"&amp;$A10,'Config records'!$A$7:$A$62,0))="Yes","Aligned","Missing display"))))</x:f>
        <x:v>Aligned</x:v>
      </x:c>
      <x:c r="E10" s="24" t="str">
        <x:f>IF(C10="Source missing","Source missing",IF(D10="Not required","Not applicable",IF(D10="Missing display","Not assessed",IF(INDEX('Config records'!$F$7:$F$62,MATCH("Baseline:"&amp;$A10,'Config records'!$A$7:$A$62,0))=INDEX('Point requirements'!$C$7:$C$34,MATCH($A10,'Point requirements'!$A$7:$A$34,0)),"Aligned","Mismatch"))))</x:f>
        <x:v>Aligned</x:v>
      </x:c>
      <x:c r="F10" s="24" t="str">
        <x:f>IF(C10="Source missing","Source missing",IF(D10="Not required","Not applicable",IF(D10="Missing display","Not assessed",IF(INDEX('Config records'!$G$7:$G$62,MATCH("Baseline:"&amp;$A10,'Config records'!$A$7:$A$62,0))=INDEX('Point requirements'!$E$7:$E$34,MATCH($A10,'Point requirements'!$A$7:$A$34,0)),"Aligned","Mismatch"))))</x:f>
        <x:v>Aligned</x:v>
      </x:c>
      <x:c r="G10" s="24" t="str">
        <x:f>IF(C10="Source missing","Source missing",IF(D10="Not required","Not applicable",IF(D10="Missing display","Not assessed",IF(INDEX('Config records'!$H$7:$H$62,MATCH("Baseline:"&amp;$A10,'Config records'!$A$7:$A$62,0))=INDEX('Point requirements'!$F$7:$F$34,MATCH($A10,'Point requirements'!$A$7:$A$34,0)),"Aligned","Mismatch"))))</x:f>
        <x:v>Aligned</x:v>
      </x:c>
      <x:c r="H10" s="24" t="str">
        <x:f>IF(C10="Source missing","Source missing",IF(D10="Not required","Not applicable",IF(D10="Missing display","Not assessed",IF(INDEX('Config records'!$I$7:$I$62,MATCH("Baseline:"&amp;$A10,'Config records'!$A$7:$A$62,0))=INDEX('Point requirements'!$G$7:$G$34,MATCH($A10,'Point requirements'!$A$7:$A$34,0)),"Aligned","Mismatch"))))</x:f>
        <x:v>Aligned</x:v>
      </x:c>
      <x:c r="I10" s="24" t="str">
        <x:f>IF(C10="Source missing","Source missing",IF(D10="Not required","Not applicable",IF(D10="Missing display","Not assessed",IF(INDEX('Config records'!$J$7:$J$62,MATCH("Baseline:"&amp;$A10,'Config records'!$A$7:$A$62,0))=INDEX('Point requirements'!$H$7:$H$34,MATCH($A10,'Point requirements'!$A$7:$A$34,0)),"Aligned","Mismatch"))))</x:f>
        <x:v>Aligned</x:v>
      </x:c>
      <x:c r="J10" s="24" t="str">
        <x:f>IF(C10="Source missing","Source missing",IF(INDEX('Point requirements'!$I$7:$I$34,MATCH($A10,'Point requirements'!$A$7:$A$34,0))="Not specified","Not applicable",IF(AND(ISNUMBER(INDEX('Point requirements'!$I$7:$I$34,MATCH($A10,'Point requirements'!$A$7:$A$34,0))),ISNUMBER(INDEX('Config records'!$K$7:$K$62,MATCH("Baseline:"&amp;$A10,'Config records'!$A$7:$A$62,0)))),IF(INDEX('Config records'!$K$7:$K$62,MATCH("Baseline:"&amp;$A10,'Config records'!$A$7:$A$62,0))=INDEX('Point requirements'!$I$7:$I$34,MATCH($A10,'Point requirements'!$A$7:$A$34,0)),"Aligned","Mismatch"),"Not recorded")))</x:f>
        <x:v>Not applicable</x:v>
      </x:c>
      <x:c r="K10" s="24" t="str">
        <x:f>IF(OR(COUNTIFS(C10:J10,"Source missing")&gt;0,N10="Source missing"),"Source missing",IF(AND(COUNTIFS(C10:J10,"Aligned")+COUNTIFS(C10:J10,"Not applicable")+COUNTIFS(C10:J10,"Not required")=8,OR(N10="Aligned",N10="Not applicable")),"Aligned","Follow-up"))</x:f>
        <x:v>Aligned</x:v>
      </x:c>
      <x:c r="L10" s="28" t="str">
        <x:f>IF(COUNTIFS('Point requirements'!$A$7:$A$34,$A10)&lt;&gt;1,"Source missing",INDEX('Point requirements'!$K$7:$K$34,MATCH($A10,'Point requirements'!$A$7:$A$34,0)))</x:f>
        <x:v>None</x:v>
      </x:c>
      <x:c r="M10" s="24" t="str">
        <x:f>IF(AND(K10="Aligned",L10="None"),"Aligned","Follow-up")</x:f>
        <x:v>Aligned</x:v>
      </x:c>
      <x:c r="N10" s="24" t="str">
        <x:f>IF(C10="Source missing","Source missing",IF(INDEX('Point requirements'!$N$7:$N$34,MATCH($A10,'Point requirements'!$A$7:$A$34,0))="Not required","Not applicable",IF(INDEX('Config records'!$M$7:$M$62,MATCH("Baseline:"&amp;$A10,'Config records'!$A$7:$A$62,0))=INDEX('Point requirements'!$N$7:$N$34,MATCH($A10,'Point requirements'!$A$7:$A$34,0)),"Aligned","Mismatch")))</x:f>
        <x:v>Not applicable</x:v>
      </x:c>
    </x:row>
    <x:row r="11" ht="42" customHeight="1">
      <x:c r="A11" s="27" t="str">
        <x:v>P05</x:v>
      </x:c>
      <x:c r="B11" s="21" t="str">
        <x:f>IF(COUNTIFS('Point requirements'!$A$7:$A$34,$A11)&lt;&gt;1,"Source missing",INDEX('Point requirements'!$B$7:$B$34,MATCH($A11,'Point requirements'!$A$7:$A$34,0)))</x:f>
        <x:v>Return-fan fault alarm</x:v>
      </x:c>
      <x:c r="C11" s="21" t="str">
        <x:f>IF(OR($A11="",COUNTIFS('Point requirements'!$A$7:$A$34,$A11)&lt;&gt;1,COUNTIFS('Config records'!$A$7:$A$62,"Baseline:"&amp;$A11)&lt;&gt;1,COUNTIFS($A$7:$A$34,$A11)&lt;&gt;1),"Source missing",IF(OR(INDEX('Point requirements'!$C$7:$C$34,MATCH($A11,'Point requirements'!$A$7:$A$34,0))="",INDEX('Point requirements'!$O$7:$O$34,MATCH($A11,'Point requirements'!$A$7:$A$34,0))="",INDEX('Config records'!$D$7:$D$62,MATCH("Baseline:"&amp;$A11,'Config records'!$A$7:$A$62,0))="",INDEX('Config records'!$N$7:$N$62,MATCH("Baseline:"&amp;$A11,'Config records'!$A$7:$A$62,0))=""),"Source missing",IF(AND(INDEX('Config records'!$D$7:$D$62,MATCH("Baseline:"&amp;$A11,'Config records'!$A$7:$A$62,0))=INDEX('Point requirements'!$C$7:$C$34,MATCH($A11,'Point requirements'!$A$7:$A$34,0)),INDEX('Config records'!$N$7:$N$62,MATCH("Baseline:"&amp;$A11,'Config records'!$A$7:$A$62,0))=INDEX('Point requirements'!$O$7:$O$34,MATCH($A11,'Point requirements'!$A$7:$A$34,0))),"Aligned","Mismatch")))</x:f>
        <x:v>Aligned</x:v>
      </x:c>
      <x:c r="D11" s="21" t="str">
        <x:f>IF(C11="Source missing","Source missing",IF(AND(INDEX('Point requirements'!$D$7:$D$34,MATCH($A11,'Point requirements'!$A$7:$A$34,0))&lt;&gt;"Yes",INDEX('Point requirements'!$D$7:$D$34,MATCH($A11,'Point requirements'!$A$7:$A$34,0))&lt;&gt;"No"),"Source missing",IF(INDEX('Point requirements'!$D$7:$D$34,MATCH($A11,'Point requirements'!$A$7:$A$34,0))="No","Not required",IF(INDEX('Config records'!$E$7:$E$62,MATCH("Baseline:"&amp;$A11,'Config records'!$A$7:$A$62,0))="Yes","Aligned","Missing display"))))</x:f>
        <x:v>Aligned</x:v>
      </x:c>
      <x:c r="E11" s="21" t="str">
        <x:f>IF(C11="Source missing","Source missing",IF(D11="Not required","Not applicable",IF(D11="Missing display","Not assessed",IF(INDEX('Config records'!$F$7:$F$62,MATCH("Baseline:"&amp;$A11,'Config records'!$A$7:$A$62,0))=INDEX('Point requirements'!$C$7:$C$34,MATCH($A11,'Point requirements'!$A$7:$A$34,0)),"Aligned","Mismatch"))))</x:f>
        <x:v>Aligned</x:v>
      </x:c>
      <x:c r="F11" s="21" t="str">
        <x:f>IF(C11="Source missing","Source missing",IF(D11="Not required","Not applicable",IF(D11="Missing display","Not assessed",IF(INDEX('Config records'!$G$7:$G$62,MATCH("Baseline:"&amp;$A11,'Config records'!$A$7:$A$62,0))=INDEX('Point requirements'!$E$7:$E$34,MATCH($A11,'Point requirements'!$A$7:$A$34,0)),"Aligned","Mismatch"))))</x:f>
        <x:v>Aligned</x:v>
      </x:c>
      <x:c r="G11" s="21" t="str">
        <x:f>IF(C11="Source missing","Source missing",IF(D11="Not required","Not applicable",IF(D11="Missing display","Not assessed",IF(INDEX('Config records'!$H$7:$H$62,MATCH("Baseline:"&amp;$A11,'Config records'!$A$7:$A$62,0))=INDEX('Point requirements'!$F$7:$F$34,MATCH($A11,'Point requirements'!$A$7:$A$34,0)),"Aligned","Mismatch"))))</x:f>
        <x:v>Aligned</x:v>
      </x:c>
      <x:c r="H11" s="21" t="str">
        <x:f>IF(C11="Source missing","Source missing",IF(D11="Not required","Not applicable",IF(D11="Missing display","Not assessed",IF(INDEX('Config records'!$I$7:$I$62,MATCH("Baseline:"&amp;$A11,'Config records'!$A$7:$A$62,0))=INDEX('Point requirements'!$G$7:$G$34,MATCH($A11,'Point requirements'!$A$7:$A$34,0)),"Aligned","Mismatch"))))</x:f>
        <x:v>Aligned</x:v>
      </x:c>
      <x:c r="I11" s="21" t="str">
        <x:f>IF(C11="Source missing","Source missing",IF(D11="Not required","Not applicable",IF(D11="Missing display","Not assessed",IF(INDEX('Config records'!$J$7:$J$62,MATCH("Baseline:"&amp;$A11,'Config records'!$A$7:$A$62,0))=INDEX('Point requirements'!$H$7:$H$34,MATCH($A11,'Point requirements'!$A$7:$A$34,0)),"Aligned","Mismatch"))))</x:f>
        <x:v>Aligned</x:v>
      </x:c>
      <x:c r="J11" s="21" t="str">
        <x:f>IF(C11="Source missing","Source missing",IF(INDEX('Point requirements'!$I$7:$I$34,MATCH($A11,'Point requirements'!$A$7:$A$34,0))="Not specified","Not applicable",IF(AND(ISNUMBER(INDEX('Point requirements'!$I$7:$I$34,MATCH($A11,'Point requirements'!$A$7:$A$34,0))),ISNUMBER(INDEX('Config records'!$K$7:$K$62,MATCH("Baseline:"&amp;$A11,'Config records'!$A$7:$A$62,0)))),IF(INDEX('Config records'!$K$7:$K$62,MATCH("Baseline:"&amp;$A11,'Config records'!$A$7:$A$62,0))=INDEX('Point requirements'!$I$7:$I$34,MATCH($A11,'Point requirements'!$A$7:$A$34,0)),"Aligned","Mismatch"),"Not recorded")))</x:f>
        <x:v>Not applicable</x:v>
      </x:c>
      <x:c r="K11" s="21" t="str">
        <x:f>IF(OR(COUNTIFS(C11:J11,"Source missing")&gt;0,N11="Source missing"),"Source missing",IF(AND(COUNTIFS(C11:J11,"Aligned")+COUNTIFS(C11:J11,"Not applicable")+COUNTIFS(C11:J11,"Not required")=8,OR(N11="Aligned",N11="Not applicable")),"Aligned","Follow-up"))</x:f>
        <x:v>Aligned</x:v>
      </x:c>
      <x:c r="L11" s="27" t="str">
        <x:f>IF(COUNTIFS('Point requirements'!$A$7:$A$34,$A11)&lt;&gt;1,"Source missing",INDEX('Point requirements'!$K$7:$K$34,MATCH($A11,'Point requirements'!$A$7:$A$34,0)))</x:f>
        <x:v>None</x:v>
      </x:c>
      <x:c r="M11" s="21" t="str">
        <x:f>IF(AND(K11="Aligned",L11="None"),"Aligned","Follow-up")</x:f>
        <x:v>Aligned</x:v>
      </x:c>
      <x:c r="N11" s="21" t="str">
        <x:f>IF(C11="Source missing","Source missing",IF(INDEX('Point requirements'!$N$7:$N$34,MATCH($A11,'Point requirements'!$A$7:$A$34,0))="Not required","Not applicable",IF(INDEX('Config records'!$M$7:$M$62,MATCH("Baseline:"&amp;$A11,'Config records'!$A$7:$A$62,0))=INDEX('Point requirements'!$N$7:$N$34,MATCH($A11,'Point requirements'!$A$7:$A$34,0)),"Aligned","Mismatch")))</x:f>
        <x:v>Not applicable</x:v>
      </x:c>
    </x:row>
    <x:row r="12" ht="42" customHeight="1">
      <x:c r="A12" s="28" t="str">
        <x:v>P06</x:v>
      </x:c>
      <x:c r="B12" s="24" t="str">
        <x:f>IF(COUNTIFS('Point requirements'!$A$7:$A$34,$A12)&lt;&gt;1,"Source missing",INDEX('Point requirements'!$B$7:$B$34,MATCH($A12,'Point requirements'!$A$7:$A$34,0)))</x:f>
        <x:v>Supply-air temperature</x:v>
      </x:c>
      <x:c r="C12" s="24" t="str">
        <x:f>IF(OR($A12="",COUNTIFS('Point requirements'!$A$7:$A$34,$A12)&lt;&gt;1,COUNTIFS('Config records'!$A$7:$A$62,"Baseline:"&amp;$A12)&lt;&gt;1,COUNTIFS($A$7:$A$34,$A12)&lt;&gt;1),"Source missing",IF(OR(INDEX('Point requirements'!$C$7:$C$34,MATCH($A12,'Point requirements'!$A$7:$A$34,0))="",INDEX('Point requirements'!$O$7:$O$34,MATCH($A12,'Point requirements'!$A$7:$A$34,0))="",INDEX('Config records'!$D$7:$D$62,MATCH("Baseline:"&amp;$A12,'Config records'!$A$7:$A$62,0))="",INDEX('Config records'!$N$7:$N$62,MATCH("Baseline:"&amp;$A12,'Config records'!$A$7:$A$62,0))=""),"Source missing",IF(AND(INDEX('Config records'!$D$7:$D$62,MATCH("Baseline:"&amp;$A12,'Config records'!$A$7:$A$62,0))=INDEX('Point requirements'!$C$7:$C$34,MATCH($A12,'Point requirements'!$A$7:$A$34,0)),INDEX('Config records'!$N$7:$N$62,MATCH("Baseline:"&amp;$A12,'Config records'!$A$7:$A$62,0))=INDEX('Point requirements'!$O$7:$O$34,MATCH($A12,'Point requirements'!$A$7:$A$34,0))),"Aligned","Mismatch")))</x:f>
        <x:v>Aligned</x:v>
      </x:c>
      <x:c r="D12" s="24" t="str">
        <x:f>IF(C12="Source missing","Source missing",IF(AND(INDEX('Point requirements'!$D$7:$D$34,MATCH($A12,'Point requirements'!$A$7:$A$34,0))&lt;&gt;"Yes",INDEX('Point requirements'!$D$7:$D$34,MATCH($A12,'Point requirements'!$A$7:$A$34,0))&lt;&gt;"No"),"Source missing",IF(INDEX('Point requirements'!$D$7:$D$34,MATCH($A12,'Point requirements'!$A$7:$A$34,0))="No","Not required",IF(INDEX('Config records'!$E$7:$E$62,MATCH("Baseline:"&amp;$A12,'Config records'!$A$7:$A$62,0))="Yes","Aligned","Missing display"))))</x:f>
        <x:v>Aligned</x:v>
      </x:c>
      <x:c r="E12" s="24" t="str">
        <x:f>IF(C12="Source missing","Source missing",IF(D12="Not required","Not applicable",IF(D12="Missing display","Not assessed",IF(INDEX('Config records'!$F$7:$F$62,MATCH("Baseline:"&amp;$A12,'Config records'!$A$7:$A$62,0))=INDEX('Point requirements'!$C$7:$C$34,MATCH($A12,'Point requirements'!$A$7:$A$34,0)),"Aligned","Mismatch"))))</x:f>
        <x:v>Mismatch</x:v>
      </x:c>
      <x:c r="F12" s="24" t="str">
        <x:f>IF(C12="Source missing","Source missing",IF(D12="Not required","Not applicable",IF(D12="Missing display","Not assessed",IF(INDEX('Config records'!$G$7:$G$62,MATCH("Baseline:"&amp;$A12,'Config records'!$A$7:$A$62,0))=INDEX('Point requirements'!$E$7:$E$34,MATCH($A12,'Point requirements'!$A$7:$A$34,0)),"Aligned","Mismatch"))))</x:f>
        <x:v>Aligned</x:v>
      </x:c>
      <x:c r="G12" s="24" t="str">
        <x:f>IF(C12="Source missing","Source missing",IF(D12="Not required","Not applicable",IF(D12="Missing display","Not assessed",IF(INDEX('Config records'!$H$7:$H$62,MATCH("Baseline:"&amp;$A12,'Config records'!$A$7:$A$62,0))=INDEX('Point requirements'!$F$7:$F$34,MATCH($A12,'Point requirements'!$A$7:$A$34,0)),"Aligned","Mismatch"))))</x:f>
        <x:v>Aligned</x:v>
      </x:c>
      <x:c r="H12" s="24" t="str">
        <x:f>IF(C12="Source missing","Source missing",IF(D12="Not required","Not applicable",IF(D12="Missing display","Not assessed",IF(INDEX('Config records'!$I$7:$I$62,MATCH("Baseline:"&amp;$A12,'Config records'!$A$7:$A$62,0))=INDEX('Point requirements'!$G$7:$G$34,MATCH($A12,'Point requirements'!$A$7:$A$34,0)),"Aligned","Mismatch"))))</x:f>
        <x:v>Aligned</x:v>
      </x:c>
      <x:c r="I12" s="24" t="str">
        <x:f>IF(C12="Source missing","Source missing",IF(D12="Not required","Not applicable",IF(D12="Missing display","Not assessed",IF(INDEX('Config records'!$J$7:$J$62,MATCH("Baseline:"&amp;$A12,'Config records'!$A$7:$A$62,0))=INDEX('Point requirements'!$H$7:$H$34,MATCH($A12,'Point requirements'!$A$7:$A$34,0)),"Aligned","Mismatch"))))</x:f>
        <x:v>Aligned</x:v>
      </x:c>
      <x:c r="J12" s="24" t="str">
        <x:f>IF(C12="Source missing","Source missing",IF(INDEX('Point requirements'!$I$7:$I$34,MATCH($A12,'Point requirements'!$A$7:$A$34,0))="Not specified","Not applicable",IF(AND(ISNUMBER(INDEX('Point requirements'!$I$7:$I$34,MATCH($A12,'Point requirements'!$A$7:$A$34,0))),ISNUMBER(INDEX('Config records'!$K$7:$K$62,MATCH("Baseline:"&amp;$A12,'Config records'!$A$7:$A$62,0)))),IF(INDEX('Config records'!$K$7:$K$62,MATCH("Baseline:"&amp;$A12,'Config records'!$A$7:$A$62,0))=INDEX('Point requirements'!$I$7:$I$34,MATCH($A12,'Point requirements'!$A$7:$A$34,0)),"Aligned","Mismatch"),"Not recorded")))</x:f>
        <x:v>Not applicable</x:v>
      </x:c>
      <x:c r="K12" s="24" t="str">
        <x:f>IF(OR(COUNTIFS(C12:J12,"Source missing")&gt;0,N12="Source missing"),"Source missing",IF(AND(COUNTIFS(C12:J12,"Aligned")+COUNTIFS(C12:J12,"Not applicable")+COUNTIFS(C12:J12,"Not required")=8,OR(N12="Aligned",N12="Not applicable")),"Aligned","Follow-up"))</x:f>
        <x:v>Follow-up</x:v>
      </x:c>
      <x:c r="L12" s="28" t="str">
        <x:f>IF(COUNTIFS('Point requirements'!$A$7:$A$34,$A12)&lt;&gt;1,"Source missing",INDEX('Point requirements'!$K$7:$K$34,MATCH($A12,'Point requirements'!$A$7:$A$34,0)))</x:f>
        <x:v>F01</x:v>
      </x:c>
      <x:c r="M12" s="24" t="str">
        <x:f>IF(AND(K12="Aligned",L12="None"),"Aligned","Follow-up")</x:f>
        <x:v>Follow-up</x:v>
      </x:c>
      <x:c r="N12" s="24" t="str">
        <x:f>IF(C12="Source missing","Source missing",IF(INDEX('Point requirements'!$N$7:$N$34,MATCH($A12,'Point requirements'!$A$7:$A$34,0))="Not required","Not applicable",IF(INDEX('Config records'!$M$7:$M$62,MATCH("Baseline:"&amp;$A12,'Config records'!$A$7:$A$62,0))=INDEX('Point requirements'!$N$7:$N$34,MATCH($A12,'Point requirements'!$A$7:$A$34,0)),"Aligned","Mismatch")))</x:f>
        <x:v>Aligned</x:v>
      </x:c>
    </x:row>
    <x:row r="13" ht="42" customHeight="1">
      <x:c r="A13" s="27" t="str">
        <x:v>P07</x:v>
      </x:c>
      <x:c r="B13" s="21" t="str">
        <x:f>IF(COUNTIFS('Point requirements'!$A$7:$A$34,$A13)&lt;&gt;1,"Source missing",INDEX('Point requirements'!$B$7:$B$34,MATCH($A13,'Point requirements'!$A$7:$A$34,0)))</x:f>
        <x:v>Supply-air temperature setpoint</x:v>
      </x:c>
      <x:c r="C13" s="21" t="str">
        <x:f>IF(OR($A13="",COUNTIFS('Point requirements'!$A$7:$A$34,$A13)&lt;&gt;1,COUNTIFS('Config records'!$A$7:$A$62,"Baseline:"&amp;$A13)&lt;&gt;1,COUNTIFS($A$7:$A$34,$A13)&lt;&gt;1),"Source missing",IF(OR(INDEX('Point requirements'!$C$7:$C$34,MATCH($A13,'Point requirements'!$A$7:$A$34,0))="",INDEX('Point requirements'!$O$7:$O$34,MATCH($A13,'Point requirements'!$A$7:$A$34,0))="",INDEX('Config records'!$D$7:$D$62,MATCH("Baseline:"&amp;$A13,'Config records'!$A$7:$A$62,0))="",INDEX('Config records'!$N$7:$N$62,MATCH("Baseline:"&amp;$A13,'Config records'!$A$7:$A$62,0))=""),"Source missing",IF(AND(INDEX('Config records'!$D$7:$D$62,MATCH("Baseline:"&amp;$A13,'Config records'!$A$7:$A$62,0))=INDEX('Point requirements'!$C$7:$C$34,MATCH($A13,'Point requirements'!$A$7:$A$34,0)),INDEX('Config records'!$N$7:$N$62,MATCH("Baseline:"&amp;$A13,'Config records'!$A$7:$A$62,0))=INDEX('Point requirements'!$O$7:$O$34,MATCH($A13,'Point requirements'!$A$7:$A$34,0))),"Aligned","Mismatch")))</x:f>
        <x:v>Aligned</x:v>
      </x:c>
      <x:c r="D13" s="21" t="str">
        <x:f>IF(C13="Source missing","Source missing",IF(AND(INDEX('Point requirements'!$D$7:$D$34,MATCH($A13,'Point requirements'!$A$7:$A$34,0))&lt;&gt;"Yes",INDEX('Point requirements'!$D$7:$D$34,MATCH($A13,'Point requirements'!$A$7:$A$34,0))&lt;&gt;"No"),"Source missing",IF(INDEX('Point requirements'!$D$7:$D$34,MATCH($A13,'Point requirements'!$A$7:$A$34,0))="No","Not required",IF(INDEX('Config records'!$E$7:$E$62,MATCH("Baseline:"&amp;$A13,'Config records'!$A$7:$A$62,0))="Yes","Aligned","Missing display"))))</x:f>
        <x:v>Aligned</x:v>
      </x:c>
      <x:c r="E13" s="21" t="str">
        <x:f>IF(C13="Source missing","Source missing",IF(D13="Not required","Not applicable",IF(D13="Missing display","Not assessed",IF(INDEX('Config records'!$F$7:$F$62,MATCH("Baseline:"&amp;$A13,'Config records'!$A$7:$A$62,0))=INDEX('Point requirements'!$C$7:$C$34,MATCH($A13,'Point requirements'!$A$7:$A$34,0)),"Aligned","Mismatch"))))</x:f>
        <x:v>Aligned</x:v>
      </x:c>
      <x:c r="F13" s="21" t="str">
        <x:f>IF(C13="Source missing","Source missing",IF(D13="Not required","Not applicable",IF(D13="Missing display","Not assessed",IF(INDEX('Config records'!$G$7:$G$62,MATCH("Baseline:"&amp;$A13,'Config records'!$A$7:$A$62,0))=INDEX('Point requirements'!$E$7:$E$34,MATCH($A13,'Point requirements'!$A$7:$A$34,0)),"Aligned","Mismatch"))))</x:f>
        <x:v>Aligned</x:v>
      </x:c>
      <x:c r="G13" s="21" t="str">
        <x:f>IF(C13="Source missing","Source missing",IF(D13="Not required","Not applicable",IF(D13="Missing display","Not assessed",IF(INDEX('Config records'!$H$7:$H$62,MATCH("Baseline:"&amp;$A13,'Config records'!$A$7:$A$62,0))=INDEX('Point requirements'!$F$7:$F$34,MATCH($A13,'Point requirements'!$A$7:$A$34,0)),"Aligned","Mismatch"))))</x:f>
        <x:v>Aligned</x:v>
      </x:c>
      <x:c r="H13" s="21" t="str">
        <x:f>IF(C13="Source missing","Source missing",IF(D13="Not required","Not applicable",IF(D13="Missing display","Not assessed",IF(INDEX('Config records'!$I$7:$I$62,MATCH("Baseline:"&amp;$A13,'Config records'!$A$7:$A$62,0))=INDEX('Point requirements'!$G$7:$G$34,MATCH($A13,'Point requirements'!$A$7:$A$34,0)),"Aligned","Mismatch"))))</x:f>
        <x:v>Aligned</x:v>
      </x:c>
      <x:c r="I13" s="21" t="str">
        <x:f>IF(C13="Source missing","Source missing",IF(D13="Not required","Not applicable",IF(D13="Missing display","Not assessed",IF(INDEX('Config records'!$J$7:$J$62,MATCH("Baseline:"&amp;$A13,'Config records'!$A$7:$A$62,0))=INDEX('Point requirements'!$H$7:$H$34,MATCH($A13,'Point requirements'!$A$7:$A$34,0)),"Aligned","Mismatch"))))</x:f>
        <x:v>Aligned</x:v>
      </x:c>
      <x:c r="J13" s="21" t="str">
        <x:f>IF(C13="Source missing","Source missing",IF(INDEX('Point requirements'!$I$7:$I$34,MATCH($A13,'Point requirements'!$A$7:$A$34,0))="Not specified","Not applicable",IF(AND(ISNUMBER(INDEX('Point requirements'!$I$7:$I$34,MATCH($A13,'Point requirements'!$A$7:$A$34,0))),ISNUMBER(INDEX('Config records'!$K$7:$K$62,MATCH("Baseline:"&amp;$A13,'Config records'!$A$7:$A$62,0)))),IF(INDEX('Config records'!$K$7:$K$62,MATCH("Baseline:"&amp;$A13,'Config records'!$A$7:$A$62,0))=INDEX('Point requirements'!$I$7:$I$34,MATCH($A13,'Point requirements'!$A$7:$A$34,0)),"Aligned","Mismatch"),"Not recorded")))</x:f>
        <x:v>Mismatch</x:v>
      </x:c>
      <x:c r="K13" s="21" t="str">
        <x:f>IF(OR(COUNTIFS(C13:J13,"Source missing")&gt;0,N13="Source missing"),"Source missing",IF(AND(COUNTIFS(C13:J13,"Aligned")+COUNTIFS(C13:J13,"Not applicable")+COUNTIFS(C13:J13,"Not required")=8,OR(N13="Aligned",N13="Not applicable")),"Aligned","Follow-up"))</x:f>
        <x:v>Follow-up</x:v>
      </x:c>
      <x:c r="L13" s="27" t="str">
        <x:f>IF(COUNTIFS('Point requirements'!$A$7:$A$34,$A13)&lt;&gt;1,"Source missing",INDEX('Point requirements'!$K$7:$K$34,MATCH($A13,'Point requirements'!$A$7:$A$34,0)))</x:f>
        <x:v>F03</x:v>
      </x:c>
      <x:c r="M13" s="21" t="str">
        <x:f>IF(AND(K13="Aligned",L13="None"),"Aligned","Follow-up")</x:f>
        <x:v>Follow-up</x:v>
      </x:c>
      <x:c r="N13" s="21" t="str">
        <x:f>IF(C13="Source missing","Source missing",IF(INDEX('Point requirements'!$N$7:$N$34,MATCH($A13,'Point requirements'!$A$7:$A$34,0))="Not required","Not applicable",IF(INDEX('Config records'!$M$7:$M$62,MATCH("Baseline:"&amp;$A13,'Config records'!$A$7:$A$62,0))=INDEX('Point requirements'!$N$7:$N$34,MATCH($A13,'Point requirements'!$A$7:$A$34,0)),"Aligned","Mismatch")))</x:f>
        <x:v>Not applicable</x:v>
      </x:c>
    </x:row>
    <x:row r="14" ht="42" customHeight="1">
      <x:c r="A14" s="28" t="str">
        <x:v>P08</x:v>
      </x:c>
      <x:c r="B14" s="24" t="str">
        <x:f>IF(COUNTIFS('Point requirements'!$A$7:$A$34,$A14)&lt;&gt;1,"Source missing",INDEX('Point requirements'!$B$7:$B$34,MATCH($A14,'Point requirements'!$A$7:$A$34,0)))</x:f>
        <x:v>Chilled/hot-water valve command</x:v>
      </x:c>
      <x:c r="C14" s="24" t="str">
        <x:f>IF(OR($A14="",COUNTIFS('Point requirements'!$A$7:$A$34,$A14)&lt;&gt;1,COUNTIFS('Config records'!$A$7:$A$62,"Baseline:"&amp;$A14)&lt;&gt;1,COUNTIFS($A$7:$A$34,$A14)&lt;&gt;1),"Source missing",IF(OR(INDEX('Point requirements'!$C$7:$C$34,MATCH($A14,'Point requirements'!$A$7:$A$34,0))="",INDEX('Point requirements'!$O$7:$O$34,MATCH($A14,'Point requirements'!$A$7:$A$34,0))="",INDEX('Config records'!$D$7:$D$62,MATCH("Baseline:"&amp;$A14,'Config records'!$A$7:$A$62,0))="",INDEX('Config records'!$N$7:$N$62,MATCH("Baseline:"&amp;$A14,'Config records'!$A$7:$A$62,0))=""),"Source missing",IF(AND(INDEX('Config records'!$D$7:$D$62,MATCH("Baseline:"&amp;$A14,'Config records'!$A$7:$A$62,0))=INDEX('Point requirements'!$C$7:$C$34,MATCH($A14,'Point requirements'!$A$7:$A$34,0)),INDEX('Config records'!$N$7:$N$62,MATCH("Baseline:"&amp;$A14,'Config records'!$A$7:$A$62,0))=INDEX('Point requirements'!$O$7:$O$34,MATCH($A14,'Point requirements'!$A$7:$A$34,0))),"Aligned","Mismatch")))</x:f>
        <x:v>Aligned</x:v>
      </x:c>
      <x:c r="D14" s="24" t="str">
        <x:f>IF(C14="Source missing","Source missing",IF(AND(INDEX('Point requirements'!$D$7:$D$34,MATCH($A14,'Point requirements'!$A$7:$A$34,0))&lt;&gt;"Yes",INDEX('Point requirements'!$D$7:$D$34,MATCH($A14,'Point requirements'!$A$7:$A$34,0))&lt;&gt;"No"),"Source missing",IF(INDEX('Point requirements'!$D$7:$D$34,MATCH($A14,'Point requirements'!$A$7:$A$34,0))="No","Not required",IF(INDEX('Config records'!$E$7:$E$62,MATCH("Baseline:"&amp;$A14,'Config records'!$A$7:$A$62,0))="Yes","Aligned","Missing display"))))</x:f>
        <x:v>Aligned</x:v>
      </x:c>
      <x:c r="E14" s="24" t="str">
        <x:f>IF(C14="Source missing","Source missing",IF(D14="Not required","Not applicable",IF(D14="Missing display","Not assessed",IF(INDEX('Config records'!$F$7:$F$62,MATCH("Baseline:"&amp;$A14,'Config records'!$A$7:$A$62,0))=INDEX('Point requirements'!$C$7:$C$34,MATCH($A14,'Point requirements'!$A$7:$A$34,0)),"Aligned","Mismatch"))))</x:f>
        <x:v>Aligned</x:v>
      </x:c>
      <x:c r="F14" s="24" t="str">
        <x:f>IF(C14="Source missing","Source missing",IF(D14="Not required","Not applicable",IF(D14="Missing display","Not assessed",IF(INDEX('Config records'!$G$7:$G$62,MATCH("Baseline:"&amp;$A14,'Config records'!$A$7:$A$62,0))=INDEX('Point requirements'!$E$7:$E$34,MATCH($A14,'Point requirements'!$A$7:$A$34,0)),"Aligned","Mismatch"))))</x:f>
        <x:v>Aligned</x:v>
      </x:c>
      <x:c r="G14" s="24" t="str">
        <x:f>IF(C14="Source missing","Source missing",IF(D14="Not required","Not applicable",IF(D14="Missing display","Not assessed",IF(INDEX('Config records'!$H$7:$H$62,MATCH("Baseline:"&amp;$A14,'Config records'!$A$7:$A$62,0))=INDEX('Point requirements'!$F$7:$F$34,MATCH($A14,'Point requirements'!$A$7:$A$34,0)),"Aligned","Mismatch"))))</x:f>
        <x:v>Aligned</x:v>
      </x:c>
      <x:c r="H14" s="24" t="str">
        <x:f>IF(C14="Source missing","Source missing",IF(D14="Not required","Not applicable",IF(D14="Missing display","Not assessed",IF(INDEX('Config records'!$I$7:$I$62,MATCH("Baseline:"&amp;$A14,'Config records'!$A$7:$A$62,0))=INDEX('Point requirements'!$G$7:$G$34,MATCH($A14,'Point requirements'!$A$7:$A$34,0)),"Aligned","Mismatch"))))</x:f>
        <x:v>Aligned</x:v>
      </x:c>
      <x:c r="I14" s="24" t="str">
        <x:f>IF(C14="Source missing","Source missing",IF(D14="Not required","Not applicable",IF(D14="Missing display","Not assessed",IF(INDEX('Config records'!$J$7:$J$62,MATCH("Baseline:"&amp;$A14,'Config records'!$A$7:$A$62,0))=INDEX('Point requirements'!$H$7:$H$34,MATCH($A14,'Point requirements'!$A$7:$A$34,0)),"Aligned","Mismatch"))))</x:f>
        <x:v>Aligned</x:v>
      </x:c>
      <x:c r="J14" s="24" t="str">
        <x:f>IF(C14="Source missing","Source missing",IF(INDEX('Point requirements'!$I$7:$I$34,MATCH($A14,'Point requirements'!$A$7:$A$34,0))="Not specified","Not applicable",IF(AND(ISNUMBER(INDEX('Point requirements'!$I$7:$I$34,MATCH($A14,'Point requirements'!$A$7:$A$34,0))),ISNUMBER(INDEX('Config records'!$K$7:$K$62,MATCH("Baseline:"&amp;$A14,'Config records'!$A$7:$A$62,0)))),IF(INDEX('Config records'!$K$7:$K$62,MATCH("Baseline:"&amp;$A14,'Config records'!$A$7:$A$62,0))=INDEX('Point requirements'!$I$7:$I$34,MATCH($A14,'Point requirements'!$A$7:$A$34,0)),"Aligned","Mismatch"),"Not recorded")))</x:f>
        <x:v>Not applicable</x:v>
      </x:c>
      <x:c r="K14" s="24" t="str">
        <x:f>IF(OR(COUNTIFS(C14:J14,"Source missing")&gt;0,N14="Source missing"),"Source missing",IF(AND(COUNTIFS(C14:J14,"Aligned")+COUNTIFS(C14:J14,"Not applicable")+COUNTIFS(C14:J14,"Not required")=8,OR(N14="Aligned",N14="Not applicable")),"Aligned","Follow-up"))</x:f>
        <x:v>Aligned</x:v>
      </x:c>
      <x:c r="L14" s="28" t="str">
        <x:f>IF(COUNTIFS('Point requirements'!$A$7:$A$34,$A14)&lt;&gt;1,"Source missing",INDEX('Point requirements'!$K$7:$K$34,MATCH($A14,'Point requirements'!$A$7:$A$34,0)))</x:f>
        <x:v>None</x:v>
      </x:c>
      <x:c r="M14" s="24" t="str">
        <x:f>IF(AND(K14="Aligned",L14="None"),"Aligned","Follow-up")</x:f>
        <x:v>Aligned</x:v>
      </x:c>
      <x:c r="N14" s="24" t="str">
        <x:f>IF(C14="Source missing","Source missing",IF(INDEX('Point requirements'!$N$7:$N$34,MATCH($A14,'Point requirements'!$A$7:$A$34,0))="Not required","Not applicable",IF(INDEX('Config records'!$M$7:$M$62,MATCH("Baseline:"&amp;$A14,'Config records'!$A$7:$A$62,0))=INDEX('Point requirements'!$N$7:$N$34,MATCH($A14,'Point requirements'!$A$7:$A$34,0)),"Aligned","Mismatch")))</x:f>
        <x:v>Not applicable</x:v>
      </x:c>
    </x:row>
    <x:row r="15" ht="42" customHeight="1">
      <x:c r="A15" s="27" t="str">
        <x:v>P09</x:v>
      </x:c>
      <x:c r="B15" s="21" t="str">
        <x:f>IF(COUNTIFS('Point requirements'!$A$7:$A$34,$A15)&lt;&gt;1,"Source missing",INDEX('Point requirements'!$B$7:$B$34,MATCH($A15,'Point requirements'!$A$7:$A$34,0)))</x:f>
        <x:v>Filter differential-pressure alarm</x:v>
      </x:c>
      <x:c r="C15" s="21" t="str">
        <x:f>IF(OR($A15="",COUNTIFS('Point requirements'!$A$7:$A$34,$A15)&lt;&gt;1,COUNTIFS('Config records'!$A$7:$A$62,"Baseline:"&amp;$A15)&lt;&gt;1,COUNTIFS($A$7:$A$34,$A15)&lt;&gt;1),"Source missing",IF(OR(INDEX('Point requirements'!$C$7:$C$34,MATCH($A15,'Point requirements'!$A$7:$A$34,0))="",INDEX('Point requirements'!$O$7:$O$34,MATCH($A15,'Point requirements'!$A$7:$A$34,0))="",INDEX('Config records'!$D$7:$D$62,MATCH("Baseline:"&amp;$A15,'Config records'!$A$7:$A$62,0))="",INDEX('Config records'!$N$7:$N$62,MATCH("Baseline:"&amp;$A15,'Config records'!$A$7:$A$62,0))=""),"Source missing",IF(AND(INDEX('Config records'!$D$7:$D$62,MATCH("Baseline:"&amp;$A15,'Config records'!$A$7:$A$62,0))=INDEX('Point requirements'!$C$7:$C$34,MATCH($A15,'Point requirements'!$A$7:$A$34,0)),INDEX('Config records'!$N$7:$N$62,MATCH("Baseline:"&amp;$A15,'Config records'!$A$7:$A$62,0))=INDEX('Point requirements'!$O$7:$O$34,MATCH($A15,'Point requirements'!$A$7:$A$34,0))),"Aligned","Mismatch")))</x:f>
        <x:v>Aligned</x:v>
      </x:c>
      <x:c r="D15" s="21" t="str">
        <x:f>IF(C15="Source missing","Source missing",IF(AND(INDEX('Point requirements'!$D$7:$D$34,MATCH($A15,'Point requirements'!$A$7:$A$34,0))&lt;&gt;"Yes",INDEX('Point requirements'!$D$7:$D$34,MATCH($A15,'Point requirements'!$A$7:$A$34,0))&lt;&gt;"No"),"Source missing",IF(INDEX('Point requirements'!$D$7:$D$34,MATCH($A15,'Point requirements'!$A$7:$A$34,0))="No","Not required",IF(INDEX('Config records'!$E$7:$E$62,MATCH("Baseline:"&amp;$A15,'Config records'!$A$7:$A$62,0))="Yes","Aligned","Missing display"))))</x:f>
        <x:v>Aligned</x:v>
      </x:c>
      <x:c r="E15" s="21" t="str">
        <x:f>IF(C15="Source missing","Source missing",IF(D15="Not required","Not applicable",IF(D15="Missing display","Not assessed",IF(INDEX('Config records'!$F$7:$F$62,MATCH("Baseline:"&amp;$A15,'Config records'!$A$7:$A$62,0))=INDEX('Point requirements'!$C$7:$C$34,MATCH($A15,'Point requirements'!$A$7:$A$34,0)),"Aligned","Mismatch"))))</x:f>
        <x:v>Aligned</x:v>
      </x:c>
      <x:c r="F15" s="21" t="str">
        <x:f>IF(C15="Source missing","Source missing",IF(D15="Not required","Not applicable",IF(D15="Missing display","Not assessed",IF(INDEX('Config records'!$G$7:$G$62,MATCH("Baseline:"&amp;$A15,'Config records'!$A$7:$A$62,0))=INDEX('Point requirements'!$E$7:$E$34,MATCH($A15,'Point requirements'!$A$7:$A$34,0)),"Aligned","Mismatch"))))</x:f>
        <x:v>Aligned</x:v>
      </x:c>
      <x:c r="G15" s="21" t="str">
        <x:f>IF(C15="Source missing","Source missing",IF(D15="Not required","Not applicable",IF(D15="Missing display","Not assessed",IF(INDEX('Config records'!$H$7:$H$62,MATCH("Baseline:"&amp;$A15,'Config records'!$A$7:$A$62,0))=INDEX('Point requirements'!$F$7:$F$34,MATCH($A15,'Point requirements'!$A$7:$A$34,0)),"Aligned","Mismatch"))))</x:f>
        <x:v>Aligned</x:v>
      </x:c>
      <x:c r="H15" s="21" t="str">
        <x:f>IF(C15="Source missing","Source missing",IF(D15="Not required","Not applicable",IF(D15="Missing display","Not assessed",IF(INDEX('Config records'!$I$7:$I$62,MATCH("Baseline:"&amp;$A15,'Config records'!$A$7:$A$62,0))=INDEX('Point requirements'!$G$7:$G$34,MATCH($A15,'Point requirements'!$A$7:$A$34,0)),"Aligned","Mismatch"))))</x:f>
        <x:v>Aligned</x:v>
      </x:c>
      <x:c r="I15" s="21" t="str">
        <x:f>IF(C15="Source missing","Source missing",IF(D15="Not required","Not applicable",IF(D15="Missing display","Not assessed",IF(INDEX('Config records'!$J$7:$J$62,MATCH("Baseline:"&amp;$A15,'Config records'!$A$7:$A$62,0))=INDEX('Point requirements'!$H$7:$H$34,MATCH($A15,'Point requirements'!$A$7:$A$34,0)),"Aligned","Mismatch"))))</x:f>
        <x:v>Aligned</x:v>
      </x:c>
      <x:c r="J15" s="21" t="str">
        <x:f>IF(C15="Source missing","Source missing",IF(INDEX('Point requirements'!$I$7:$I$34,MATCH($A15,'Point requirements'!$A$7:$A$34,0))="Not specified","Not applicable",IF(AND(ISNUMBER(INDEX('Point requirements'!$I$7:$I$34,MATCH($A15,'Point requirements'!$A$7:$A$34,0))),ISNUMBER(INDEX('Config records'!$K$7:$K$62,MATCH("Baseline:"&amp;$A15,'Config records'!$A$7:$A$62,0)))),IF(INDEX('Config records'!$K$7:$K$62,MATCH("Baseline:"&amp;$A15,'Config records'!$A$7:$A$62,0))=INDEX('Point requirements'!$I$7:$I$34,MATCH($A15,'Point requirements'!$A$7:$A$34,0)),"Aligned","Mismatch"),"Not recorded")))</x:f>
        <x:v>Not applicable</x:v>
      </x:c>
      <x:c r="K15" s="21" t="str">
        <x:f>IF(OR(COUNTIFS(C15:J15,"Source missing")&gt;0,N15="Source missing"),"Source missing",IF(AND(COUNTIFS(C15:J15,"Aligned")+COUNTIFS(C15:J15,"Not applicable")+COUNTIFS(C15:J15,"Not required")=8,OR(N15="Aligned",N15="Not applicable")),"Aligned","Follow-up"))</x:f>
        <x:v>Aligned</x:v>
      </x:c>
      <x:c r="L15" s="27" t="str">
        <x:f>IF(COUNTIFS('Point requirements'!$A$7:$A$34,$A15)&lt;&gt;1,"Source missing",INDEX('Point requirements'!$K$7:$K$34,MATCH($A15,'Point requirements'!$A$7:$A$34,0)))</x:f>
        <x:v>None</x:v>
      </x:c>
      <x:c r="M15" s="21" t="str">
        <x:f>IF(AND(K15="Aligned",L15="None"),"Aligned","Follow-up")</x:f>
        <x:v>Aligned</x:v>
      </x:c>
      <x:c r="N15" s="21" t="str">
        <x:f>IF(C15="Source missing","Source missing",IF(INDEX('Point requirements'!$N$7:$N$34,MATCH($A15,'Point requirements'!$A$7:$A$34,0))="Not required","Not applicable",IF(INDEX('Config records'!$M$7:$M$62,MATCH("Baseline:"&amp;$A15,'Config records'!$A$7:$A$62,0))=INDEX('Point requirements'!$N$7:$N$34,MATCH($A15,'Point requirements'!$A$7:$A$34,0)),"Aligned","Mismatch")))</x:f>
        <x:v>Not applicable</x:v>
      </x:c>
    </x:row>
    <x:row r="16" ht="42" customHeight="1">
      <x:c r="A16" s="28" t="str">
        <x:v>P10</x:v>
      </x:c>
      <x:c r="B16" s="24" t="str">
        <x:f>IF(COUNTIFS('Point requirements'!$A$7:$A$34,$A16)&lt;&gt;1,"Source missing",INDEX('Point requirements'!$B$7:$B$34,MATCH($A16,'Point requirements'!$A$7:$A$34,0)))</x:f>
        <x:v>Shared outdoor-air temperature</x:v>
      </x:c>
      <x:c r="C16" s="24" t="str">
        <x:f>IF(OR($A16="",COUNTIFS('Point requirements'!$A$7:$A$34,$A16)&lt;&gt;1,COUNTIFS('Config records'!$A$7:$A$62,"Baseline:"&amp;$A16)&lt;&gt;1,COUNTIFS($A$7:$A$34,$A16)&lt;&gt;1),"Source missing",IF(OR(INDEX('Point requirements'!$C$7:$C$34,MATCH($A16,'Point requirements'!$A$7:$A$34,0))="",INDEX('Point requirements'!$O$7:$O$34,MATCH($A16,'Point requirements'!$A$7:$A$34,0))="",INDEX('Config records'!$D$7:$D$62,MATCH("Baseline:"&amp;$A16,'Config records'!$A$7:$A$62,0))="",INDEX('Config records'!$N$7:$N$62,MATCH("Baseline:"&amp;$A16,'Config records'!$A$7:$A$62,0))=""),"Source missing",IF(AND(INDEX('Config records'!$D$7:$D$62,MATCH("Baseline:"&amp;$A16,'Config records'!$A$7:$A$62,0))=INDEX('Point requirements'!$C$7:$C$34,MATCH($A16,'Point requirements'!$A$7:$A$34,0)),INDEX('Config records'!$N$7:$N$62,MATCH("Baseline:"&amp;$A16,'Config records'!$A$7:$A$62,0))=INDEX('Point requirements'!$O$7:$O$34,MATCH($A16,'Point requirements'!$A$7:$A$34,0))),"Aligned","Mismatch")))</x:f>
        <x:v>Aligned</x:v>
      </x:c>
      <x:c r="D16" s="24" t="str">
        <x:f>IF(C16="Source missing","Source missing",IF(AND(INDEX('Point requirements'!$D$7:$D$34,MATCH($A16,'Point requirements'!$A$7:$A$34,0))&lt;&gt;"Yes",INDEX('Point requirements'!$D$7:$D$34,MATCH($A16,'Point requirements'!$A$7:$A$34,0))&lt;&gt;"No"),"Source missing",IF(INDEX('Point requirements'!$D$7:$D$34,MATCH($A16,'Point requirements'!$A$7:$A$34,0))="No","Not required",IF(INDEX('Config records'!$E$7:$E$62,MATCH("Baseline:"&amp;$A16,'Config records'!$A$7:$A$62,0))="Yes","Aligned","Missing display"))))</x:f>
        <x:v>Aligned</x:v>
      </x:c>
      <x:c r="E16" s="24" t="str">
        <x:f>IF(C16="Source missing","Source missing",IF(D16="Not required","Not applicable",IF(D16="Missing display","Not assessed",IF(INDEX('Config records'!$F$7:$F$62,MATCH("Baseline:"&amp;$A16,'Config records'!$A$7:$A$62,0))=INDEX('Point requirements'!$C$7:$C$34,MATCH($A16,'Point requirements'!$A$7:$A$34,0)),"Aligned","Mismatch"))))</x:f>
        <x:v>Aligned</x:v>
      </x:c>
      <x:c r="F16" s="24" t="str">
        <x:f>IF(C16="Source missing","Source missing",IF(D16="Not required","Not applicable",IF(D16="Missing display","Not assessed",IF(INDEX('Config records'!$G$7:$G$62,MATCH("Baseline:"&amp;$A16,'Config records'!$A$7:$A$62,0))=INDEX('Point requirements'!$E$7:$E$34,MATCH($A16,'Point requirements'!$A$7:$A$34,0)),"Aligned","Mismatch"))))</x:f>
        <x:v>Aligned</x:v>
      </x:c>
      <x:c r="G16" s="24" t="str">
        <x:f>IF(C16="Source missing","Source missing",IF(D16="Not required","Not applicable",IF(D16="Missing display","Not assessed",IF(INDEX('Config records'!$H$7:$H$62,MATCH("Baseline:"&amp;$A16,'Config records'!$A$7:$A$62,0))=INDEX('Point requirements'!$F$7:$F$34,MATCH($A16,'Point requirements'!$A$7:$A$34,0)),"Aligned","Mismatch"))))</x:f>
        <x:v>Aligned</x:v>
      </x:c>
      <x:c r="H16" s="24" t="str">
        <x:f>IF(C16="Source missing","Source missing",IF(D16="Not required","Not applicable",IF(D16="Missing display","Not assessed",IF(INDEX('Config records'!$I$7:$I$62,MATCH("Baseline:"&amp;$A16,'Config records'!$A$7:$A$62,0))=INDEX('Point requirements'!$G$7:$G$34,MATCH($A16,'Point requirements'!$A$7:$A$34,0)),"Aligned","Mismatch"))))</x:f>
        <x:v>Aligned</x:v>
      </x:c>
      <x:c r="I16" s="24" t="str">
        <x:f>IF(C16="Source missing","Source missing",IF(D16="Not required","Not applicable",IF(D16="Missing display","Not assessed",IF(INDEX('Config records'!$J$7:$J$62,MATCH("Baseline:"&amp;$A16,'Config records'!$A$7:$A$62,0))=INDEX('Point requirements'!$H$7:$H$34,MATCH($A16,'Point requirements'!$A$7:$A$34,0)),"Aligned","Mismatch"))))</x:f>
        <x:v>Aligned</x:v>
      </x:c>
      <x:c r="J16" s="24" t="str">
        <x:f>IF(C16="Source missing","Source missing",IF(INDEX('Point requirements'!$I$7:$I$34,MATCH($A16,'Point requirements'!$A$7:$A$34,0))="Not specified","Not applicable",IF(AND(ISNUMBER(INDEX('Point requirements'!$I$7:$I$34,MATCH($A16,'Point requirements'!$A$7:$A$34,0))),ISNUMBER(INDEX('Config records'!$K$7:$K$62,MATCH("Baseline:"&amp;$A16,'Config records'!$A$7:$A$62,0)))),IF(INDEX('Config records'!$K$7:$K$62,MATCH("Baseline:"&amp;$A16,'Config records'!$A$7:$A$62,0))=INDEX('Point requirements'!$I$7:$I$34,MATCH($A16,'Point requirements'!$A$7:$A$34,0)),"Aligned","Mismatch"),"Not recorded")))</x:f>
        <x:v>Not applicable</x:v>
      </x:c>
      <x:c r="K16" s="24" t="str">
        <x:f>IF(OR(COUNTIFS(C16:J16,"Source missing")&gt;0,N16="Source missing"),"Source missing",IF(AND(COUNTIFS(C16:J16,"Aligned")+COUNTIFS(C16:J16,"Not applicable")+COUNTIFS(C16:J16,"Not required")=8,OR(N16="Aligned",N16="Not applicable")),"Aligned","Follow-up"))</x:f>
        <x:v>Aligned</x:v>
      </x:c>
      <x:c r="L16" s="28" t="str">
        <x:f>IF(COUNTIFS('Point requirements'!$A$7:$A$34,$A16)&lt;&gt;1,"Source missing",INDEX('Point requirements'!$K$7:$K$34,MATCH($A16,'Point requirements'!$A$7:$A$34,0)))</x:f>
        <x:v>None</x:v>
      </x:c>
      <x:c r="M16" s="24" t="str">
        <x:f>IF(AND(K16="Aligned",L16="None"),"Aligned","Follow-up")</x:f>
        <x:v>Aligned</x:v>
      </x:c>
      <x:c r="N16" s="24" t="str">
        <x:f>IF(C16="Source missing","Source missing",IF(INDEX('Point requirements'!$N$7:$N$34,MATCH($A16,'Point requirements'!$A$7:$A$34,0))="Not required","Not applicable",IF(INDEX('Config records'!$M$7:$M$62,MATCH("Baseline:"&amp;$A16,'Config records'!$A$7:$A$62,0))=INDEX('Point requirements'!$N$7:$N$34,MATCH($A16,'Point requirements'!$A$7:$A$34,0)),"Aligned","Mismatch")))</x:f>
        <x:v>Not applicable</x:v>
      </x:c>
    </x:row>
    <x:row r="17" ht="42" customHeight="1">
      <x:c r="A17" s="27" t="str">
        <x:v>P11</x:v>
      </x:c>
      <x:c r="B17" s="21" t="str">
        <x:f>IF(COUNTIFS('Point requirements'!$A$7:$A$34,$A17)&lt;&gt;1,"Source missing",INDEX('Point requirements'!$B$7:$B$34,MATCH($A17,'Point requirements'!$A$7:$A$34,0)))</x:f>
        <x:v>Shared outdoor-air humidity</x:v>
      </x:c>
      <x:c r="C17" s="21" t="str">
        <x:f>IF(OR($A17="",COUNTIFS('Point requirements'!$A$7:$A$34,$A17)&lt;&gt;1,COUNTIFS('Config records'!$A$7:$A$62,"Baseline:"&amp;$A17)&lt;&gt;1,COUNTIFS($A$7:$A$34,$A17)&lt;&gt;1),"Source missing",IF(OR(INDEX('Point requirements'!$C$7:$C$34,MATCH($A17,'Point requirements'!$A$7:$A$34,0))="",INDEX('Point requirements'!$O$7:$O$34,MATCH($A17,'Point requirements'!$A$7:$A$34,0))="",INDEX('Config records'!$D$7:$D$62,MATCH("Baseline:"&amp;$A17,'Config records'!$A$7:$A$62,0))="",INDEX('Config records'!$N$7:$N$62,MATCH("Baseline:"&amp;$A17,'Config records'!$A$7:$A$62,0))=""),"Source missing",IF(AND(INDEX('Config records'!$D$7:$D$62,MATCH("Baseline:"&amp;$A17,'Config records'!$A$7:$A$62,0))=INDEX('Point requirements'!$C$7:$C$34,MATCH($A17,'Point requirements'!$A$7:$A$34,0)),INDEX('Config records'!$N$7:$N$62,MATCH("Baseline:"&amp;$A17,'Config records'!$A$7:$A$62,0))=INDEX('Point requirements'!$O$7:$O$34,MATCH($A17,'Point requirements'!$A$7:$A$34,0))),"Aligned","Mismatch")))</x:f>
        <x:v>Aligned</x:v>
      </x:c>
      <x:c r="D17" s="21" t="str">
        <x:f>IF(C17="Source missing","Source missing",IF(AND(INDEX('Point requirements'!$D$7:$D$34,MATCH($A17,'Point requirements'!$A$7:$A$34,0))&lt;&gt;"Yes",INDEX('Point requirements'!$D$7:$D$34,MATCH($A17,'Point requirements'!$A$7:$A$34,0))&lt;&gt;"No"),"Source missing",IF(INDEX('Point requirements'!$D$7:$D$34,MATCH($A17,'Point requirements'!$A$7:$A$34,0))="No","Not required",IF(INDEX('Config records'!$E$7:$E$62,MATCH("Baseline:"&amp;$A17,'Config records'!$A$7:$A$62,0))="Yes","Aligned","Missing display"))))</x:f>
        <x:v>Aligned</x:v>
      </x:c>
      <x:c r="E17" s="21" t="str">
        <x:f>IF(C17="Source missing","Source missing",IF(D17="Not required","Not applicable",IF(D17="Missing display","Not assessed",IF(INDEX('Config records'!$F$7:$F$62,MATCH("Baseline:"&amp;$A17,'Config records'!$A$7:$A$62,0))=INDEX('Point requirements'!$C$7:$C$34,MATCH($A17,'Point requirements'!$A$7:$A$34,0)),"Aligned","Mismatch"))))</x:f>
        <x:v>Aligned</x:v>
      </x:c>
      <x:c r="F17" s="21" t="str">
        <x:f>IF(C17="Source missing","Source missing",IF(D17="Not required","Not applicable",IF(D17="Missing display","Not assessed",IF(INDEX('Config records'!$G$7:$G$62,MATCH("Baseline:"&amp;$A17,'Config records'!$A$7:$A$62,0))=INDEX('Point requirements'!$E$7:$E$34,MATCH($A17,'Point requirements'!$A$7:$A$34,0)),"Aligned","Mismatch"))))</x:f>
        <x:v>Aligned</x:v>
      </x:c>
      <x:c r="G17" s="21" t="str">
        <x:f>IF(C17="Source missing","Source missing",IF(D17="Not required","Not applicable",IF(D17="Missing display","Not assessed",IF(INDEX('Config records'!$H$7:$H$62,MATCH("Baseline:"&amp;$A17,'Config records'!$A$7:$A$62,0))=INDEX('Point requirements'!$F$7:$F$34,MATCH($A17,'Point requirements'!$A$7:$A$34,0)),"Aligned","Mismatch"))))</x:f>
        <x:v>Aligned</x:v>
      </x:c>
      <x:c r="H17" s="21" t="str">
        <x:f>IF(C17="Source missing","Source missing",IF(D17="Not required","Not applicable",IF(D17="Missing display","Not assessed",IF(INDEX('Config records'!$I$7:$I$62,MATCH("Baseline:"&amp;$A17,'Config records'!$A$7:$A$62,0))=INDEX('Point requirements'!$G$7:$G$34,MATCH($A17,'Point requirements'!$A$7:$A$34,0)),"Aligned","Mismatch"))))</x:f>
        <x:v>Aligned</x:v>
      </x:c>
      <x:c r="I17" s="21" t="str">
        <x:f>IF(C17="Source missing","Source missing",IF(D17="Not required","Not applicable",IF(D17="Missing display","Not assessed",IF(INDEX('Config records'!$J$7:$J$62,MATCH("Baseline:"&amp;$A17,'Config records'!$A$7:$A$62,0))=INDEX('Point requirements'!$H$7:$H$34,MATCH($A17,'Point requirements'!$A$7:$A$34,0)),"Aligned","Mismatch"))))</x:f>
        <x:v>Aligned</x:v>
      </x:c>
      <x:c r="J17" s="21" t="str">
        <x:f>IF(C17="Source missing","Source missing",IF(INDEX('Point requirements'!$I$7:$I$34,MATCH($A17,'Point requirements'!$A$7:$A$34,0))="Not specified","Not applicable",IF(AND(ISNUMBER(INDEX('Point requirements'!$I$7:$I$34,MATCH($A17,'Point requirements'!$A$7:$A$34,0))),ISNUMBER(INDEX('Config records'!$K$7:$K$62,MATCH("Baseline:"&amp;$A17,'Config records'!$A$7:$A$62,0)))),IF(INDEX('Config records'!$K$7:$K$62,MATCH("Baseline:"&amp;$A17,'Config records'!$A$7:$A$62,0))=INDEX('Point requirements'!$I$7:$I$34,MATCH($A17,'Point requirements'!$A$7:$A$34,0)),"Aligned","Mismatch"),"Not recorded")))</x:f>
        <x:v>Not applicable</x:v>
      </x:c>
      <x:c r="K17" s="21" t="str">
        <x:f>IF(OR(COUNTIFS(C17:J17,"Source missing")&gt;0,N17="Source missing"),"Source missing",IF(AND(COUNTIFS(C17:J17,"Aligned")+COUNTIFS(C17:J17,"Not applicable")+COUNTIFS(C17:J17,"Not required")=8,OR(N17="Aligned",N17="Not applicable")),"Aligned","Follow-up"))</x:f>
        <x:v>Aligned</x:v>
      </x:c>
      <x:c r="L17" s="27" t="str">
        <x:f>IF(COUNTIFS('Point requirements'!$A$7:$A$34,$A17)&lt;&gt;1,"Source missing",INDEX('Point requirements'!$K$7:$K$34,MATCH($A17,'Point requirements'!$A$7:$A$34,0)))</x:f>
        <x:v>None</x:v>
      </x:c>
      <x:c r="M17" s="21" t="str">
        <x:f>IF(AND(K17="Aligned",L17="None"),"Aligned","Follow-up")</x:f>
        <x:v>Aligned</x:v>
      </x:c>
      <x:c r="N17" s="21" t="str">
        <x:f>IF(C17="Source missing","Source missing",IF(INDEX('Point requirements'!$N$7:$N$34,MATCH($A17,'Point requirements'!$A$7:$A$34,0))="Not required","Not applicable",IF(INDEX('Config records'!$M$7:$M$62,MATCH("Baseline:"&amp;$A17,'Config records'!$A$7:$A$62,0))=INDEX('Point requirements'!$N$7:$N$34,MATCH($A17,'Point requirements'!$A$7:$A$34,0)),"Aligned","Mismatch")))</x:f>
        <x:v>Not applicable</x:v>
      </x:c>
    </x:row>
    <x:row r="18" ht="42" customHeight="1">
      <x:c r="A18" s="28" t="str">
        <x:v>P12</x:v>
      </x:c>
      <x:c r="B18" s="24" t="str">
        <x:f>IF(COUNTIFS('Point requirements'!$A$7:$A$34,$A18)&lt;&gt;1,"Source missing",INDEX('Point requirements'!$B$7:$B$34,MATCH($A18,'Point requirements'!$A$7:$A$34,0)))</x:f>
        <x:v>Economizer enabled status</x:v>
      </x:c>
      <x:c r="C18" s="24" t="str">
        <x:f>IF(OR($A18="",COUNTIFS('Point requirements'!$A$7:$A$34,$A18)&lt;&gt;1,COUNTIFS('Config records'!$A$7:$A$62,"Baseline:"&amp;$A18)&lt;&gt;1,COUNTIFS($A$7:$A$34,$A18)&lt;&gt;1),"Source missing",IF(OR(INDEX('Point requirements'!$C$7:$C$34,MATCH($A18,'Point requirements'!$A$7:$A$34,0))="",INDEX('Point requirements'!$O$7:$O$34,MATCH($A18,'Point requirements'!$A$7:$A$34,0))="",INDEX('Config records'!$D$7:$D$62,MATCH("Baseline:"&amp;$A18,'Config records'!$A$7:$A$62,0))="",INDEX('Config records'!$N$7:$N$62,MATCH("Baseline:"&amp;$A18,'Config records'!$A$7:$A$62,0))=""),"Source missing",IF(AND(INDEX('Config records'!$D$7:$D$62,MATCH("Baseline:"&amp;$A18,'Config records'!$A$7:$A$62,0))=INDEX('Point requirements'!$C$7:$C$34,MATCH($A18,'Point requirements'!$A$7:$A$34,0)),INDEX('Config records'!$N$7:$N$62,MATCH("Baseline:"&amp;$A18,'Config records'!$A$7:$A$62,0))=INDEX('Point requirements'!$O$7:$O$34,MATCH($A18,'Point requirements'!$A$7:$A$34,0))),"Aligned","Mismatch")))</x:f>
        <x:v>Aligned</x:v>
      </x:c>
      <x:c r="D18" s="24" t="str">
        <x:f>IF(C18="Source missing","Source missing",IF(AND(INDEX('Point requirements'!$D$7:$D$34,MATCH($A18,'Point requirements'!$A$7:$A$34,0))&lt;&gt;"Yes",INDEX('Point requirements'!$D$7:$D$34,MATCH($A18,'Point requirements'!$A$7:$A$34,0))&lt;&gt;"No"),"Source missing",IF(INDEX('Point requirements'!$D$7:$D$34,MATCH($A18,'Point requirements'!$A$7:$A$34,0))="No","Not required",IF(INDEX('Config records'!$E$7:$E$62,MATCH("Baseline:"&amp;$A18,'Config records'!$A$7:$A$62,0))="Yes","Aligned","Missing display"))))</x:f>
        <x:v>Aligned</x:v>
      </x:c>
      <x:c r="E18" s="24" t="str">
        <x:f>IF(C18="Source missing","Source missing",IF(D18="Not required","Not applicable",IF(D18="Missing display","Not assessed",IF(INDEX('Config records'!$F$7:$F$62,MATCH("Baseline:"&amp;$A18,'Config records'!$A$7:$A$62,0))=INDEX('Point requirements'!$C$7:$C$34,MATCH($A18,'Point requirements'!$A$7:$A$34,0)),"Aligned","Mismatch"))))</x:f>
        <x:v>Aligned</x:v>
      </x:c>
      <x:c r="F18" s="24" t="str">
        <x:f>IF(C18="Source missing","Source missing",IF(D18="Not required","Not applicable",IF(D18="Missing display","Not assessed",IF(INDEX('Config records'!$G$7:$G$62,MATCH("Baseline:"&amp;$A18,'Config records'!$A$7:$A$62,0))=INDEX('Point requirements'!$E$7:$E$34,MATCH($A18,'Point requirements'!$A$7:$A$34,0)),"Aligned","Mismatch"))))</x:f>
        <x:v>Aligned</x:v>
      </x:c>
      <x:c r="G18" s="24" t="str">
        <x:f>IF(C18="Source missing","Source missing",IF(D18="Not required","Not applicable",IF(D18="Missing display","Not assessed",IF(INDEX('Config records'!$H$7:$H$62,MATCH("Baseline:"&amp;$A18,'Config records'!$A$7:$A$62,0))=INDEX('Point requirements'!$F$7:$F$34,MATCH($A18,'Point requirements'!$A$7:$A$34,0)),"Aligned","Mismatch"))))</x:f>
        <x:v>Aligned</x:v>
      </x:c>
      <x:c r="H18" s="24" t="str">
        <x:f>IF(C18="Source missing","Source missing",IF(D18="Not required","Not applicable",IF(D18="Missing display","Not assessed",IF(INDEX('Config records'!$I$7:$I$62,MATCH("Baseline:"&amp;$A18,'Config records'!$A$7:$A$62,0))=INDEX('Point requirements'!$G$7:$G$34,MATCH($A18,'Point requirements'!$A$7:$A$34,0)),"Aligned","Mismatch"))))</x:f>
        <x:v>Aligned</x:v>
      </x:c>
      <x:c r="I18" s="24" t="str">
        <x:f>IF(C18="Source missing","Source missing",IF(D18="Not required","Not applicable",IF(D18="Missing display","Not assessed",IF(INDEX('Config records'!$J$7:$J$62,MATCH("Baseline:"&amp;$A18,'Config records'!$A$7:$A$62,0))=INDEX('Point requirements'!$H$7:$H$34,MATCH($A18,'Point requirements'!$A$7:$A$34,0)),"Aligned","Mismatch"))))</x:f>
        <x:v>Aligned</x:v>
      </x:c>
      <x:c r="J18" s="24" t="str">
        <x:f>IF(C18="Source missing","Source missing",IF(INDEX('Point requirements'!$I$7:$I$34,MATCH($A18,'Point requirements'!$A$7:$A$34,0))="Not specified","Not applicable",IF(AND(ISNUMBER(INDEX('Point requirements'!$I$7:$I$34,MATCH($A18,'Point requirements'!$A$7:$A$34,0))),ISNUMBER(INDEX('Config records'!$K$7:$K$62,MATCH("Baseline:"&amp;$A18,'Config records'!$A$7:$A$62,0)))),IF(INDEX('Config records'!$K$7:$K$62,MATCH("Baseline:"&amp;$A18,'Config records'!$A$7:$A$62,0))=INDEX('Point requirements'!$I$7:$I$34,MATCH($A18,'Point requirements'!$A$7:$A$34,0)),"Aligned","Mismatch"),"Not recorded")))</x:f>
        <x:v>Not applicable</x:v>
      </x:c>
      <x:c r="K18" s="24" t="str">
        <x:f>IF(OR(COUNTIFS(C18:J18,"Source missing")&gt;0,N18="Source missing"),"Source missing",IF(AND(COUNTIFS(C18:J18,"Aligned")+COUNTIFS(C18:J18,"Not applicable")+COUNTIFS(C18:J18,"Not required")=8,OR(N18="Aligned",N18="Not applicable")),"Aligned","Follow-up"))</x:f>
        <x:v>Aligned</x:v>
      </x:c>
      <x:c r="L18" s="28" t="str">
        <x:f>IF(COUNTIFS('Point requirements'!$A$7:$A$34,$A18)&lt;&gt;1,"Source missing",INDEX('Point requirements'!$K$7:$K$34,MATCH($A18,'Point requirements'!$A$7:$A$34,0)))</x:f>
        <x:v>None</x:v>
      </x:c>
      <x:c r="M18" s="24" t="str">
        <x:f>IF(AND(K18="Aligned",L18="None"),"Aligned","Follow-up")</x:f>
        <x:v>Aligned</x:v>
      </x:c>
      <x:c r="N18" s="24" t="str">
        <x:f>IF(C18="Source missing","Source missing",IF(INDEX('Point requirements'!$N$7:$N$34,MATCH($A18,'Point requirements'!$A$7:$A$34,0))="Not required","Not applicable",IF(INDEX('Config records'!$M$7:$M$62,MATCH("Baseline:"&amp;$A18,'Config records'!$A$7:$A$62,0))=INDEX('Point requirements'!$N$7:$N$34,MATCH($A18,'Point requirements'!$A$7:$A$34,0)),"Aligned","Mismatch")))</x:f>
        <x:v>Not applicable</x:v>
      </x:c>
    </x:row>
    <x:row r="19" ht="42" customHeight="1">
      <x:c r="A19" s="27" t="str">
        <x:v>P13</x:v>
      </x:c>
      <x:c r="B19" s="21" t="str">
        <x:f>IF(COUNTIFS('Point requirements'!$A$7:$A$34,$A19)&lt;&gt;1,"Source missing",INDEX('Point requirements'!$B$7:$B$34,MATCH($A19,'Point requirements'!$A$7:$A$34,0)))</x:f>
        <x:v>Economizer active status</x:v>
      </x:c>
      <x:c r="C19" s="21" t="str">
        <x:f>IF(OR($A19="",COUNTIFS('Point requirements'!$A$7:$A$34,$A19)&lt;&gt;1,COUNTIFS('Config records'!$A$7:$A$62,"Baseline:"&amp;$A19)&lt;&gt;1,COUNTIFS($A$7:$A$34,$A19)&lt;&gt;1),"Source missing",IF(OR(INDEX('Point requirements'!$C$7:$C$34,MATCH($A19,'Point requirements'!$A$7:$A$34,0))="",INDEX('Point requirements'!$O$7:$O$34,MATCH($A19,'Point requirements'!$A$7:$A$34,0))="",INDEX('Config records'!$D$7:$D$62,MATCH("Baseline:"&amp;$A19,'Config records'!$A$7:$A$62,0))="",INDEX('Config records'!$N$7:$N$62,MATCH("Baseline:"&amp;$A19,'Config records'!$A$7:$A$62,0))=""),"Source missing",IF(AND(INDEX('Config records'!$D$7:$D$62,MATCH("Baseline:"&amp;$A19,'Config records'!$A$7:$A$62,0))=INDEX('Point requirements'!$C$7:$C$34,MATCH($A19,'Point requirements'!$A$7:$A$34,0)),INDEX('Config records'!$N$7:$N$62,MATCH("Baseline:"&amp;$A19,'Config records'!$A$7:$A$62,0))=INDEX('Point requirements'!$O$7:$O$34,MATCH($A19,'Point requirements'!$A$7:$A$34,0))),"Aligned","Mismatch")))</x:f>
        <x:v>Aligned</x:v>
      </x:c>
      <x:c r="D19" s="21" t="str">
        <x:f>IF(C19="Source missing","Source missing",IF(AND(INDEX('Point requirements'!$D$7:$D$34,MATCH($A19,'Point requirements'!$A$7:$A$34,0))&lt;&gt;"Yes",INDEX('Point requirements'!$D$7:$D$34,MATCH($A19,'Point requirements'!$A$7:$A$34,0))&lt;&gt;"No"),"Source missing",IF(INDEX('Point requirements'!$D$7:$D$34,MATCH($A19,'Point requirements'!$A$7:$A$34,0))="No","Not required",IF(INDEX('Config records'!$E$7:$E$62,MATCH("Baseline:"&amp;$A19,'Config records'!$A$7:$A$62,0))="Yes","Aligned","Missing display"))))</x:f>
        <x:v>Aligned</x:v>
      </x:c>
      <x:c r="E19" s="21" t="str">
        <x:f>IF(C19="Source missing","Source missing",IF(D19="Not required","Not applicable",IF(D19="Missing display","Not assessed",IF(INDEX('Config records'!$F$7:$F$62,MATCH("Baseline:"&amp;$A19,'Config records'!$A$7:$A$62,0))=INDEX('Point requirements'!$C$7:$C$34,MATCH($A19,'Point requirements'!$A$7:$A$34,0)),"Aligned","Mismatch"))))</x:f>
        <x:v>Aligned</x:v>
      </x:c>
      <x:c r="F19" s="21" t="str">
        <x:f>IF(C19="Source missing","Source missing",IF(D19="Not required","Not applicable",IF(D19="Missing display","Not assessed",IF(INDEX('Config records'!$G$7:$G$62,MATCH("Baseline:"&amp;$A19,'Config records'!$A$7:$A$62,0))=INDEX('Point requirements'!$E$7:$E$34,MATCH($A19,'Point requirements'!$A$7:$A$34,0)),"Aligned","Mismatch"))))</x:f>
        <x:v>Aligned</x:v>
      </x:c>
      <x:c r="G19" s="21" t="str">
        <x:f>IF(C19="Source missing","Source missing",IF(D19="Not required","Not applicable",IF(D19="Missing display","Not assessed",IF(INDEX('Config records'!$H$7:$H$62,MATCH("Baseline:"&amp;$A19,'Config records'!$A$7:$A$62,0))=INDEX('Point requirements'!$F$7:$F$34,MATCH($A19,'Point requirements'!$A$7:$A$34,0)),"Aligned","Mismatch"))))</x:f>
        <x:v>Aligned</x:v>
      </x:c>
      <x:c r="H19" s="21" t="str">
        <x:f>IF(C19="Source missing","Source missing",IF(D19="Not required","Not applicable",IF(D19="Missing display","Not assessed",IF(INDEX('Config records'!$I$7:$I$62,MATCH("Baseline:"&amp;$A19,'Config records'!$A$7:$A$62,0))=INDEX('Point requirements'!$G$7:$G$34,MATCH($A19,'Point requirements'!$A$7:$A$34,0)),"Aligned","Mismatch"))))</x:f>
        <x:v>Aligned</x:v>
      </x:c>
      <x:c r="I19" s="21" t="str">
        <x:f>IF(C19="Source missing","Source missing",IF(D19="Not required","Not applicable",IF(D19="Missing display","Not assessed",IF(INDEX('Config records'!$J$7:$J$62,MATCH("Baseline:"&amp;$A19,'Config records'!$A$7:$A$62,0))=INDEX('Point requirements'!$H$7:$H$34,MATCH($A19,'Point requirements'!$A$7:$A$34,0)),"Aligned","Mismatch"))))</x:f>
        <x:v>Aligned</x:v>
      </x:c>
      <x:c r="J19" s="21" t="str">
        <x:f>IF(C19="Source missing","Source missing",IF(INDEX('Point requirements'!$I$7:$I$34,MATCH($A19,'Point requirements'!$A$7:$A$34,0))="Not specified","Not applicable",IF(AND(ISNUMBER(INDEX('Point requirements'!$I$7:$I$34,MATCH($A19,'Point requirements'!$A$7:$A$34,0))),ISNUMBER(INDEX('Config records'!$K$7:$K$62,MATCH("Baseline:"&amp;$A19,'Config records'!$A$7:$A$62,0)))),IF(INDEX('Config records'!$K$7:$K$62,MATCH("Baseline:"&amp;$A19,'Config records'!$A$7:$A$62,0))=INDEX('Point requirements'!$I$7:$I$34,MATCH($A19,'Point requirements'!$A$7:$A$34,0)),"Aligned","Mismatch"),"Not recorded")))</x:f>
        <x:v>Not applicable</x:v>
      </x:c>
      <x:c r="K19" s="21" t="str">
        <x:f>IF(OR(COUNTIFS(C19:J19,"Source missing")&gt;0,N19="Source missing"),"Source missing",IF(AND(COUNTIFS(C19:J19,"Aligned")+COUNTIFS(C19:J19,"Not applicable")+COUNTIFS(C19:J19,"Not required")=8,OR(N19="Aligned",N19="Not applicable")),"Aligned","Follow-up"))</x:f>
        <x:v>Aligned</x:v>
      </x:c>
      <x:c r="L19" s="27" t="str">
        <x:f>IF(COUNTIFS('Point requirements'!$A$7:$A$34,$A19)&lt;&gt;1,"Source missing",INDEX('Point requirements'!$K$7:$K$34,MATCH($A19,'Point requirements'!$A$7:$A$34,0)))</x:f>
        <x:v>None</x:v>
      </x:c>
      <x:c r="M19" s="21" t="str">
        <x:f>IF(AND(K19="Aligned",L19="None"),"Aligned","Follow-up")</x:f>
        <x:v>Aligned</x:v>
      </x:c>
      <x:c r="N19" s="21" t="str">
        <x:f>IF(C19="Source missing","Source missing",IF(INDEX('Point requirements'!$N$7:$N$34,MATCH($A19,'Point requirements'!$A$7:$A$34,0))="Not required","Not applicable",IF(INDEX('Config records'!$M$7:$M$62,MATCH("Baseline:"&amp;$A19,'Config records'!$A$7:$A$62,0))=INDEX('Point requirements'!$N$7:$N$34,MATCH($A19,'Point requirements'!$A$7:$A$34,0)),"Aligned","Mismatch")))</x:f>
        <x:v>Not applicable</x:v>
      </x:c>
    </x:row>
    <x:row r="20" ht="42" customHeight="1">
      <x:c r="A20" s="28" t="str">
        <x:v>P14</x:v>
      </x:c>
      <x:c r="B20" s="24" t="str">
        <x:f>IF(COUNTIFS('Point requirements'!$A$7:$A$34,$A20)&lt;&gt;1,"Source missing",INDEX('Point requirements'!$B$7:$B$34,MATCH($A20,'Point requirements'!$A$7:$A$34,0)))</x:f>
        <x:v>Freeze-protection enabled status</x:v>
      </x:c>
      <x:c r="C20" s="24" t="str">
        <x:f>IF(OR($A20="",COUNTIFS('Point requirements'!$A$7:$A$34,$A20)&lt;&gt;1,COUNTIFS('Config records'!$A$7:$A$62,"Baseline:"&amp;$A20)&lt;&gt;1,COUNTIFS($A$7:$A$34,$A20)&lt;&gt;1),"Source missing",IF(OR(INDEX('Point requirements'!$C$7:$C$34,MATCH($A20,'Point requirements'!$A$7:$A$34,0))="",INDEX('Point requirements'!$O$7:$O$34,MATCH($A20,'Point requirements'!$A$7:$A$34,0))="",INDEX('Config records'!$D$7:$D$62,MATCH("Baseline:"&amp;$A20,'Config records'!$A$7:$A$62,0))="",INDEX('Config records'!$N$7:$N$62,MATCH("Baseline:"&amp;$A20,'Config records'!$A$7:$A$62,0))=""),"Source missing",IF(AND(INDEX('Config records'!$D$7:$D$62,MATCH("Baseline:"&amp;$A20,'Config records'!$A$7:$A$62,0))=INDEX('Point requirements'!$C$7:$C$34,MATCH($A20,'Point requirements'!$A$7:$A$34,0)),INDEX('Config records'!$N$7:$N$62,MATCH("Baseline:"&amp;$A20,'Config records'!$A$7:$A$62,0))=INDEX('Point requirements'!$O$7:$O$34,MATCH($A20,'Point requirements'!$A$7:$A$34,0))),"Aligned","Mismatch")))</x:f>
        <x:v>Aligned</x:v>
      </x:c>
      <x:c r="D20" s="24" t="str">
        <x:f>IF(C20="Source missing","Source missing",IF(AND(INDEX('Point requirements'!$D$7:$D$34,MATCH($A20,'Point requirements'!$A$7:$A$34,0))&lt;&gt;"Yes",INDEX('Point requirements'!$D$7:$D$34,MATCH($A20,'Point requirements'!$A$7:$A$34,0))&lt;&gt;"No"),"Source missing",IF(INDEX('Point requirements'!$D$7:$D$34,MATCH($A20,'Point requirements'!$A$7:$A$34,0))="No","Not required",IF(INDEX('Config records'!$E$7:$E$62,MATCH("Baseline:"&amp;$A20,'Config records'!$A$7:$A$62,0))="Yes","Aligned","Missing display"))))</x:f>
        <x:v>Missing display</x:v>
      </x:c>
      <x:c r="E20" s="24" t="str">
        <x:f>IF(C20="Source missing","Source missing",IF(D20="Not required","Not applicable",IF(D20="Missing display","Not assessed",IF(INDEX('Config records'!$F$7:$F$62,MATCH("Baseline:"&amp;$A20,'Config records'!$A$7:$A$62,0))=INDEX('Point requirements'!$C$7:$C$34,MATCH($A20,'Point requirements'!$A$7:$A$34,0)),"Aligned","Mismatch"))))</x:f>
        <x:v>Not assessed</x:v>
      </x:c>
      <x:c r="F20" s="24" t="str">
        <x:f>IF(C20="Source missing","Source missing",IF(D20="Not required","Not applicable",IF(D20="Missing display","Not assessed",IF(INDEX('Config records'!$G$7:$G$62,MATCH("Baseline:"&amp;$A20,'Config records'!$A$7:$A$62,0))=INDEX('Point requirements'!$E$7:$E$34,MATCH($A20,'Point requirements'!$A$7:$A$34,0)),"Aligned","Mismatch"))))</x:f>
        <x:v>Not assessed</x:v>
      </x:c>
      <x:c r="G20" s="24" t="str">
        <x:f>IF(C20="Source missing","Source missing",IF(D20="Not required","Not applicable",IF(D20="Missing display","Not assessed",IF(INDEX('Config records'!$H$7:$H$62,MATCH("Baseline:"&amp;$A20,'Config records'!$A$7:$A$62,0))=INDEX('Point requirements'!$F$7:$F$34,MATCH($A20,'Point requirements'!$A$7:$A$34,0)),"Aligned","Mismatch"))))</x:f>
        <x:v>Not assessed</x:v>
      </x:c>
      <x:c r="H20" s="24" t="str">
        <x:f>IF(C20="Source missing","Source missing",IF(D20="Not required","Not applicable",IF(D20="Missing display","Not assessed",IF(INDEX('Config records'!$I$7:$I$62,MATCH("Baseline:"&amp;$A20,'Config records'!$A$7:$A$62,0))=INDEX('Point requirements'!$G$7:$G$34,MATCH($A20,'Point requirements'!$A$7:$A$34,0)),"Aligned","Mismatch"))))</x:f>
        <x:v>Not assessed</x:v>
      </x:c>
      <x:c r="I20" s="24" t="str">
        <x:f>IF(C20="Source missing","Source missing",IF(D20="Not required","Not applicable",IF(D20="Missing display","Not assessed",IF(INDEX('Config records'!$J$7:$J$62,MATCH("Baseline:"&amp;$A20,'Config records'!$A$7:$A$62,0))=INDEX('Point requirements'!$H$7:$H$34,MATCH($A20,'Point requirements'!$A$7:$A$34,0)),"Aligned","Mismatch"))))</x:f>
        <x:v>Not assessed</x:v>
      </x:c>
      <x:c r="J20" s="24" t="str">
        <x:f>IF(C20="Source missing","Source missing",IF(INDEX('Point requirements'!$I$7:$I$34,MATCH($A20,'Point requirements'!$A$7:$A$34,0))="Not specified","Not applicable",IF(AND(ISNUMBER(INDEX('Point requirements'!$I$7:$I$34,MATCH($A20,'Point requirements'!$A$7:$A$34,0))),ISNUMBER(INDEX('Config records'!$K$7:$K$62,MATCH("Baseline:"&amp;$A20,'Config records'!$A$7:$A$62,0)))),IF(INDEX('Config records'!$K$7:$K$62,MATCH("Baseline:"&amp;$A20,'Config records'!$A$7:$A$62,0))=INDEX('Point requirements'!$I$7:$I$34,MATCH($A20,'Point requirements'!$A$7:$A$34,0)),"Aligned","Mismatch"),"Not recorded")))</x:f>
        <x:v>Not applicable</x:v>
      </x:c>
      <x:c r="K20" s="24" t="str">
        <x:f>IF(OR(COUNTIFS(C20:J20,"Source missing")&gt;0,N20="Source missing"),"Source missing",IF(AND(COUNTIFS(C20:J20,"Aligned")+COUNTIFS(C20:J20,"Not applicable")+COUNTIFS(C20:J20,"Not required")=8,OR(N20="Aligned",N20="Not applicable")),"Aligned","Follow-up"))</x:f>
        <x:v>Follow-up</x:v>
      </x:c>
      <x:c r="L20" s="28" t="str">
        <x:f>IF(COUNTIFS('Point requirements'!$A$7:$A$34,$A20)&lt;&gt;1,"Source missing",INDEX('Point requirements'!$K$7:$K$34,MATCH($A20,'Point requirements'!$A$7:$A$34,0)))</x:f>
        <x:v>F02</x:v>
      </x:c>
      <x:c r="M20" s="24" t="str">
        <x:f>IF(AND(K20="Aligned",L20="None"),"Aligned","Follow-up")</x:f>
        <x:v>Follow-up</x:v>
      </x:c>
      <x:c r="N20" s="24" t="str">
        <x:f>IF(C20="Source missing","Source missing",IF(INDEX('Point requirements'!$N$7:$N$34,MATCH($A20,'Point requirements'!$A$7:$A$34,0))="Not required","Not applicable",IF(INDEX('Config records'!$M$7:$M$62,MATCH("Baseline:"&amp;$A20,'Config records'!$A$7:$A$62,0))=INDEX('Point requirements'!$N$7:$N$34,MATCH($A20,'Point requirements'!$A$7:$A$34,0)),"Aligned","Mismatch")))</x:f>
        <x:v>Not applicable</x:v>
      </x:c>
    </x:row>
    <x:row r="21" ht="42" customHeight="1">
      <x:c r="A21" s="27" t="str">
        <x:v>P15</x:v>
      </x:c>
      <x:c r="B21" s="21" t="str">
        <x:f>IF(COUNTIFS('Point requirements'!$A$7:$A$34,$A21)&lt;&gt;1,"Source missing",INDEX('Point requirements'!$B$7:$B$34,MATCH($A21,'Point requirements'!$A$7:$A$34,0)))</x:f>
        <x:v>Freeze-protection active status</x:v>
      </x:c>
      <x:c r="C21" s="21" t="str">
        <x:f>IF(OR($A21="",COUNTIFS('Point requirements'!$A$7:$A$34,$A21)&lt;&gt;1,COUNTIFS('Config records'!$A$7:$A$62,"Baseline:"&amp;$A21)&lt;&gt;1,COUNTIFS($A$7:$A$34,$A21)&lt;&gt;1),"Source missing",IF(OR(INDEX('Point requirements'!$C$7:$C$34,MATCH($A21,'Point requirements'!$A$7:$A$34,0))="",INDEX('Point requirements'!$O$7:$O$34,MATCH($A21,'Point requirements'!$A$7:$A$34,0))="",INDEX('Config records'!$D$7:$D$62,MATCH("Baseline:"&amp;$A21,'Config records'!$A$7:$A$62,0))="",INDEX('Config records'!$N$7:$N$62,MATCH("Baseline:"&amp;$A21,'Config records'!$A$7:$A$62,0))=""),"Source missing",IF(AND(INDEX('Config records'!$D$7:$D$62,MATCH("Baseline:"&amp;$A21,'Config records'!$A$7:$A$62,0))=INDEX('Point requirements'!$C$7:$C$34,MATCH($A21,'Point requirements'!$A$7:$A$34,0)),INDEX('Config records'!$N$7:$N$62,MATCH("Baseline:"&amp;$A21,'Config records'!$A$7:$A$62,0))=INDEX('Point requirements'!$O$7:$O$34,MATCH($A21,'Point requirements'!$A$7:$A$34,0))),"Aligned","Mismatch")))</x:f>
        <x:v>Aligned</x:v>
      </x:c>
      <x:c r="D21" s="21" t="str">
        <x:f>IF(C21="Source missing","Source missing",IF(AND(INDEX('Point requirements'!$D$7:$D$34,MATCH($A21,'Point requirements'!$A$7:$A$34,0))&lt;&gt;"Yes",INDEX('Point requirements'!$D$7:$D$34,MATCH($A21,'Point requirements'!$A$7:$A$34,0))&lt;&gt;"No"),"Source missing",IF(INDEX('Point requirements'!$D$7:$D$34,MATCH($A21,'Point requirements'!$A$7:$A$34,0))="No","Not required",IF(INDEX('Config records'!$E$7:$E$62,MATCH("Baseline:"&amp;$A21,'Config records'!$A$7:$A$62,0))="Yes","Aligned","Missing display"))))</x:f>
        <x:v>Aligned</x:v>
      </x:c>
      <x:c r="E21" s="21" t="str">
        <x:f>IF(C21="Source missing","Source missing",IF(D21="Not required","Not applicable",IF(D21="Missing display","Not assessed",IF(INDEX('Config records'!$F$7:$F$62,MATCH("Baseline:"&amp;$A21,'Config records'!$A$7:$A$62,0))=INDEX('Point requirements'!$C$7:$C$34,MATCH($A21,'Point requirements'!$A$7:$A$34,0)),"Aligned","Mismatch"))))</x:f>
        <x:v>Aligned</x:v>
      </x:c>
      <x:c r="F21" s="21" t="str">
        <x:f>IF(C21="Source missing","Source missing",IF(D21="Not required","Not applicable",IF(D21="Missing display","Not assessed",IF(INDEX('Config records'!$G$7:$G$62,MATCH("Baseline:"&amp;$A21,'Config records'!$A$7:$A$62,0))=INDEX('Point requirements'!$E$7:$E$34,MATCH($A21,'Point requirements'!$A$7:$A$34,0)),"Aligned","Mismatch"))))</x:f>
        <x:v>Aligned</x:v>
      </x:c>
      <x:c r="G21" s="21" t="str">
        <x:f>IF(C21="Source missing","Source missing",IF(D21="Not required","Not applicable",IF(D21="Missing display","Not assessed",IF(INDEX('Config records'!$H$7:$H$62,MATCH("Baseline:"&amp;$A21,'Config records'!$A$7:$A$62,0))=INDEX('Point requirements'!$F$7:$F$34,MATCH($A21,'Point requirements'!$A$7:$A$34,0)),"Aligned","Mismatch"))))</x:f>
        <x:v>Aligned</x:v>
      </x:c>
      <x:c r="H21" s="21" t="str">
        <x:f>IF(C21="Source missing","Source missing",IF(D21="Not required","Not applicable",IF(D21="Missing display","Not assessed",IF(INDEX('Config records'!$I$7:$I$62,MATCH("Baseline:"&amp;$A21,'Config records'!$A$7:$A$62,0))=INDEX('Point requirements'!$G$7:$G$34,MATCH($A21,'Point requirements'!$A$7:$A$34,0)),"Aligned","Mismatch"))))</x:f>
        <x:v>Aligned</x:v>
      </x:c>
      <x:c r="I21" s="21" t="str">
        <x:f>IF(C21="Source missing","Source missing",IF(D21="Not required","Not applicable",IF(D21="Missing display","Not assessed",IF(INDEX('Config records'!$J$7:$J$62,MATCH("Baseline:"&amp;$A21,'Config records'!$A$7:$A$62,0))=INDEX('Point requirements'!$H$7:$H$34,MATCH($A21,'Point requirements'!$A$7:$A$34,0)),"Aligned","Mismatch"))))</x:f>
        <x:v>Aligned</x:v>
      </x:c>
      <x:c r="J21" s="21" t="str">
        <x:f>IF(C21="Source missing","Source missing",IF(INDEX('Point requirements'!$I$7:$I$34,MATCH($A21,'Point requirements'!$A$7:$A$34,0))="Not specified","Not applicable",IF(AND(ISNUMBER(INDEX('Point requirements'!$I$7:$I$34,MATCH($A21,'Point requirements'!$A$7:$A$34,0))),ISNUMBER(INDEX('Config records'!$K$7:$K$62,MATCH("Baseline:"&amp;$A21,'Config records'!$A$7:$A$62,0)))),IF(INDEX('Config records'!$K$7:$K$62,MATCH("Baseline:"&amp;$A21,'Config records'!$A$7:$A$62,0))=INDEX('Point requirements'!$I$7:$I$34,MATCH($A21,'Point requirements'!$A$7:$A$34,0)),"Aligned","Mismatch"),"Not recorded")))</x:f>
        <x:v>Not applicable</x:v>
      </x:c>
      <x:c r="K21" s="21" t="str">
        <x:f>IF(OR(COUNTIFS(C21:J21,"Source missing")&gt;0,N21="Source missing"),"Source missing",IF(AND(COUNTIFS(C21:J21,"Aligned")+COUNTIFS(C21:J21,"Not applicable")+COUNTIFS(C21:J21,"Not required")=8,OR(N21="Aligned",N21="Not applicable")),"Aligned","Follow-up"))</x:f>
        <x:v>Aligned</x:v>
      </x:c>
      <x:c r="L21" s="27" t="str">
        <x:f>IF(COUNTIFS('Point requirements'!$A$7:$A$34,$A21)&lt;&gt;1,"Source missing",INDEX('Point requirements'!$K$7:$K$34,MATCH($A21,'Point requirements'!$A$7:$A$34,0)))</x:f>
        <x:v>None</x:v>
      </x:c>
      <x:c r="M21" s="21" t="str">
        <x:f>IF(AND(K21="Aligned",L21="None"),"Aligned","Follow-up")</x:f>
        <x:v>Aligned</x:v>
      </x:c>
      <x:c r="N21" s="21" t="str">
        <x:f>IF(C21="Source missing","Source missing",IF(INDEX('Point requirements'!$N$7:$N$34,MATCH($A21,'Point requirements'!$A$7:$A$34,0))="Not required","Not applicable",IF(INDEX('Config records'!$M$7:$M$62,MATCH("Baseline:"&amp;$A21,'Config records'!$A$7:$A$62,0))=INDEX('Point requirements'!$N$7:$N$34,MATCH($A21,'Point requirements'!$A$7:$A$34,0)),"Aligned","Mismatch")))</x:f>
        <x:v>Not applicable</x:v>
      </x:c>
    </x:row>
    <x:row r="22" ht="42" customHeight="1">
      <x:c r="A22" s="28" t="str">
        <x:v>P16</x:v>
      </x:c>
      <x:c r="B22" s="24" t="str">
        <x:f>IF(COUNTIFS('Point requirements'!$A$7:$A$34,$A22)&lt;&gt;1,"Source missing",INDEX('Point requirements'!$B$7:$B$34,MATCH($A22,'Point requirements'!$A$7:$A$34,0)))</x:f>
        <x:v>Heating/cooling state</x:v>
      </x:c>
      <x:c r="C22" s="24" t="str">
        <x:f>IF(OR($A22="",COUNTIFS('Point requirements'!$A$7:$A$34,$A22)&lt;&gt;1,COUNTIFS('Config records'!$A$7:$A$62,"Baseline:"&amp;$A22)&lt;&gt;1,COUNTIFS($A$7:$A$34,$A22)&lt;&gt;1),"Source missing",IF(OR(INDEX('Point requirements'!$C$7:$C$34,MATCH($A22,'Point requirements'!$A$7:$A$34,0))="",INDEX('Point requirements'!$O$7:$O$34,MATCH($A22,'Point requirements'!$A$7:$A$34,0))="",INDEX('Config records'!$D$7:$D$62,MATCH("Baseline:"&amp;$A22,'Config records'!$A$7:$A$62,0))="",INDEX('Config records'!$N$7:$N$62,MATCH("Baseline:"&amp;$A22,'Config records'!$A$7:$A$62,0))=""),"Source missing",IF(AND(INDEX('Config records'!$D$7:$D$62,MATCH("Baseline:"&amp;$A22,'Config records'!$A$7:$A$62,0))=INDEX('Point requirements'!$C$7:$C$34,MATCH($A22,'Point requirements'!$A$7:$A$34,0)),INDEX('Config records'!$N$7:$N$62,MATCH("Baseline:"&amp;$A22,'Config records'!$A$7:$A$62,0))=INDEX('Point requirements'!$O$7:$O$34,MATCH($A22,'Point requirements'!$A$7:$A$34,0))),"Aligned","Mismatch")))</x:f>
        <x:v>Aligned</x:v>
      </x:c>
      <x:c r="D22" s="24" t="str">
        <x:f>IF(C22="Source missing","Source missing",IF(AND(INDEX('Point requirements'!$D$7:$D$34,MATCH($A22,'Point requirements'!$A$7:$A$34,0))&lt;&gt;"Yes",INDEX('Point requirements'!$D$7:$D$34,MATCH($A22,'Point requirements'!$A$7:$A$34,0))&lt;&gt;"No"),"Source missing",IF(INDEX('Point requirements'!$D$7:$D$34,MATCH($A22,'Point requirements'!$A$7:$A$34,0))="No","Not required",IF(INDEX('Config records'!$E$7:$E$62,MATCH("Baseline:"&amp;$A22,'Config records'!$A$7:$A$62,0))="Yes","Aligned","Missing display"))))</x:f>
        <x:v>Aligned</x:v>
      </x:c>
      <x:c r="E22" s="24" t="str">
        <x:f>IF(C22="Source missing","Source missing",IF(D22="Not required","Not applicable",IF(D22="Missing display","Not assessed",IF(INDEX('Config records'!$F$7:$F$62,MATCH("Baseline:"&amp;$A22,'Config records'!$A$7:$A$62,0))=INDEX('Point requirements'!$C$7:$C$34,MATCH($A22,'Point requirements'!$A$7:$A$34,0)),"Aligned","Mismatch"))))</x:f>
        <x:v>Aligned</x:v>
      </x:c>
      <x:c r="F22" s="24" t="str">
        <x:f>IF(C22="Source missing","Source missing",IF(D22="Not required","Not applicable",IF(D22="Missing display","Not assessed",IF(INDEX('Config records'!$G$7:$G$62,MATCH("Baseline:"&amp;$A22,'Config records'!$A$7:$A$62,0))=INDEX('Point requirements'!$E$7:$E$34,MATCH($A22,'Point requirements'!$A$7:$A$34,0)),"Aligned","Mismatch"))))</x:f>
        <x:v>Aligned</x:v>
      </x:c>
      <x:c r="G22" s="24" t="str">
        <x:f>IF(C22="Source missing","Source missing",IF(D22="Not required","Not applicable",IF(D22="Missing display","Not assessed",IF(INDEX('Config records'!$H$7:$H$62,MATCH("Baseline:"&amp;$A22,'Config records'!$A$7:$A$62,0))=INDEX('Point requirements'!$F$7:$F$34,MATCH($A22,'Point requirements'!$A$7:$A$34,0)),"Aligned","Mismatch"))))</x:f>
        <x:v>Aligned</x:v>
      </x:c>
      <x:c r="H22" s="24" t="str">
        <x:f>IF(C22="Source missing","Source missing",IF(D22="Not required","Not applicable",IF(D22="Missing display","Not assessed",IF(INDEX('Config records'!$I$7:$I$62,MATCH("Baseline:"&amp;$A22,'Config records'!$A$7:$A$62,0))=INDEX('Point requirements'!$G$7:$G$34,MATCH($A22,'Point requirements'!$A$7:$A$34,0)),"Aligned","Mismatch"))))</x:f>
        <x:v>Aligned</x:v>
      </x:c>
      <x:c r="I22" s="24" t="str">
        <x:f>IF(C22="Source missing","Source missing",IF(D22="Not required","Not applicable",IF(D22="Missing display","Not assessed",IF(INDEX('Config records'!$J$7:$J$62,MATCH("Baseline:"&amp;$A22,'Config records'!$A$7:$A$62,0))=INDEX('Point requirements'!$H$7:$H$34,MATCH($A22,'Point requirements'!$A$7:$A$34,0)),"Aligned","Mismatch"))))</x:f>
        <x:v>Aligned</x:v>
      </x:c>
      <x:c r="J22" s="24" t="str">
        <x:f>IF(C22="Source missing","Source missing",IF(INDEX('Point requirements'!$I$7:$I$34,MATCH($A22,'Point requirements'!$A$7:$A$34,0))="Not specified","Not applicable",IF(AND(ISNUMBER(INDEX('Point requirements'!$I$7:$I$34,MATCH($A22,'Point requirements'!$A$7:$A$34,0))),ISNUMBER(INDEX('Config records'!$K$7:$K$62,MATCH("Baseline:"&amp;$A22,'Config records'!$A$7:$A$62,0)))),IF(INDEX('Config records'!$K$7:$K$62,MATCH("Baseline:"&amp;$A22,'Config records'!$A$7:$A$62,0))=INDEX('Point requirements'!$I$7:$I$34,MATCH($A22,'Point requirements'!$A$7:$A$34,0)),"Aligned","Mismatch"),"Not recorded")))</x:f>
        <x:v>Not applicable</x:v>
      </x:c>
      <x:c r="K22" s="24" t="str">
        <x:f>IF(OR(COUNTIFS(C22:J22,"Source missing")&gt;0,N22="Source missing"),"Source missing",IF(AND(COUNTIFS(C22:J22,"Aligned")+COUNTIFS(C22:J22,"Not applicable")+COUNTIFS(C22:J22,"Not required")=8,OR(N22="Aligned",N22="Not applicable")),"Aligned","Follow-up"))</x:f>
        <x:v>Aligned</x:v>
      </x:c>
      <x:c r="L22" s="28" t="str">
        <x:f>IF(COUNTIFS('Point requirements'!$A$7:$A$34,$A22)&lt;&gt;1,"Source missing",INDEX('Point requirements'!$K$7:$K$34,MATCH($A22,'Point requirements'!$A$7:$A$34,0)))</x:f>
        <x:v>None</x:v>
      </x:c>
      <x:c r="M22" s="24" t="str">
        <x:f>IF(AND(K22="Aligned",L22="None"),"Aligned","Follow-up")</x:f>
        <x:v>Aligned</x:v>
      </x:c>
      <x:c r="N22" s="24" t="str">
        <x:f>IF(C22="Source missing","Source missing",IF(INDEX('Point requirements'!$N$7:$N$34,MATCH($A22,'Point requirements'!$A$7:$A$34,0))="Not required","Not applicable",IF(INDEX('Config records'!$M$7:$M$62,MATCH("Baseline:"&amp;$A22,'Config records'!$A$7:$A$62,0))=INDEX('Point requirements'!$N$7:$N$34,MATCH($A22,'Point requirements'!$A$7:$A$34,0)),"Aligned","Mismatch")))</x:f>
        <x:v>Not applicable</x:v>
      </x:c>
    </x:row>
    <x:row r="23" ht="42" customHeight="1">
      <x:c r="A23" s="27" t="str">
        <x:v>P17</x:v>
      </x:c>
      <x:c r="B23" s="21" t="str">
        <x:f>IF(COUNTIFS('Point requirements'!$A$7:$A$34,$A23)&lt;&gt;1,"Source missing",INDEX('Point requirements'!$B$7:$B$34,MATCH($A23,'Point requirements'!$A$7:$A$34,0)))</x:f>
        <x:v>Return-air temperature</x:v>
      </x:c>
      <x:c r="C23" s="21" t="str">
        <x:f>IF(OR($A23="",COUNTIFS('Point requirements'!$A$7:$A$34,$A23)&lt;&gt;1,COUNTIFS('Config records'!$A$7:$A$62,"Baseline:"&amp;$A23)&lt;&gt;1,COUNTIFS($A$7:$A$34,$A23)&lt;&gt;1),"Source missing",IF(OR(INDEX('Point requirements'!$C$7:$C$34,MATCH($A23,'Point requirements'!$A$7:$A$34,0))="",INDEX('Point requirements'!$O$7:$O$34,MATCH($A23,'Point requirements'!$A$7:$A$34,0))="",INDEX('Config records'!$D$7:$D$62,MATCH("Baseline:"&amp;$A23,'Config records'!$A$7:$A$62,0))="",INDEX('Config records'!$N$7:$N$62,MATCH("Baseline:"&amp;$A23,'Config records'!$A$7:$A$62,0))=""),"Source missing",IF(AND(INDEX('Config records'!$D$7:$D$62,MATCH("Baseline:"&amp;$A23,'Config records'!$A$7:$A$62,0))=INDEX('Point requirements'!$C$7:$C$34,MATCH($A23,'Point requirements'!$A$7:$A$34,0)),INDEX('Config records'!$N$7:$N$62,MATCH("Baseline:"&amp;$A23,'Config records'!$A$7:$A$62,0))=INDEX('Point requirements'!$O$7:$O$34,MATCH($A23,'Point requirements'!$A$7:$A$34,0))),"Aligned","Mismatch")))</x:f>
        <x:v>Aligned</x:v>
      </x:c>
      <x:c r="D23" s="21" t="str">
        <x:f>IF(C23="Source missing","Source missing",IF(AND(INDEX('Point requirements'!$D$7:$D$34,MATCH($A23,'Point requirements'!$A$7:$A$34,0))&lt;&gt;"Yes",INDEX('Point requirements'!$D$7:$D$34,MATCH($A23,'Point requirements'!$A$7:$A$34,0))&lt;&gt;"No"),"Source missing",IF(INDEX('Point requirements'!$D$7:$D$34,MATCH($A23,'Point requirements'!$A$7:$A$34,0))="No","Not required",IF(INDEX('Config records'!$E$7:$E$62,MATCH("Baseline:"&amp;$A23,'Config records'!$A$7:$A$62,0))="Yes","Aligned","Missing display"))))</x:f>
        <x:v>Aligned</x:v>
      </x:c>
      <x:c r="E23" s="21" t="str">
        <x:f>IF(C23="Source missing","Source missing",IF(D23="Not required","Not applicable",IF(D23="Missing display","Not assessed",IF(INDEX('Config records'!$F$7:$F$62,MATCH("Baseline:"&amp;$A23,'Config records'!$A$7:$A$62,0))=INDEX('Point requirements'!$C$7:$C$34,MATCH($A23,'Point requirements'!$A$7:$A$34,0)),"Aligned","Mismatch"))))</x:f>
        <x:v>Aligned</x:v>
      </x:c>
      <x:c r="F23" s="21" t="str">
        <x:f>IF(C23="Source missing","Source missing",IF(D23="Not required","Not applicable",IF(D23="Missing display","Not assessed",IF(INDEX('Config records'!$G$7:$G$62,MATCH("Baseline:"&amp;$A23,'Config records'!$A$7:$A$62,0))=INDEX('Point requirements'!$E$7:$E$34,MATCH($A23,'Point requirements'!$A$7:$A$34,0)),"Aligned","Mismatch"))))</x:f>
        <x:v>Aligned</x:v>
      </x:c>
      <x:c r="G23" s="21" t="str">
        <x:f>IF(C23="Source missing","Source missing",IF(D23="Not required","Not applicable",IF(D23="Missing display","Not assessed",IF(INDEX('Config records'!$H$7:$H$62,MATCH("Baseline:"&amp;$A23,'Config records'!$A$7:$A$62,0))=INDEX('Point requirements'!$F$7:$F$34,MATCH($A23,'Point requirements'!$A$7:$A$34,0)),"Aligned","Mismatch"))))</x:f>
        <x:v>Aligned</x:v>
      </x:c>
      <x:c r="H23" s="21" t="str">
        <x:f>IF(C23="Source missing","Source missing",IF(D23="Not required","Not applicable",IF(D23="Missing display","Not assessed",IF(INDEX('Config records'!$I$7:$I$62,MATCH("Baseline:"&amp;$A23,'Config records'!$A$7:$A$62,0))=INDEX('Point requirements'!$G$7:$G$34,MATCH($A23,'Point requirements'!$A$7:$A$34,0)),"Aligned","Mismatch"))))</x:f>
        <x:v>Aligned</x:v>
      </x:c>
      <x:c r="I23" s="21" t="str">
        <x:f>IF(C23="Source missing","Source missing",IF(D23="Not required","Not applicable",IF(D23="Missing display","Not assessed",IF(INDEX('Config records'!$J$7:$J$62,MATCH("Baseline:"&amp;$A23,'Config records'!$A$7:$A$62,0))=INDEX('Point requirements'!$H$7:$H$34,MATCH($A23,'Point requirements'!$A$7:$A$34,0)),"Aligned","Mismatch"))))</x:f>
        <x:v>Aligned</x:v>
      </x:c>
      <x:c r="J23" s="21" t="str">
        <x:f>IF(C23="Source missing","Source missing",IF(INDEX('Point requirements'!$I$7:$I$34,MATCH($A23,'Point requirements'!$A$7:$A$34,0))="Not specified","Not applicable",IF(AND(ISNUMBER(INDEX('Point requirements'!$I$7:$I$34,MATCH($A23,'Point requirements'!$A$7:$A$34,0))),ISNUMBER(INDEX('Config records'!$K$7:$K$62,MATCH("Baseline:"&amp;$A23,'Config records'!$A$7:$A$62,0)))),IF(INDEX('Config records'!$K$7:$K$62,MATCH("Baseline:"&amp;$A23,'Config records'!$A$7:$A$62,0))=INDEX('Point requirements'!$I$7:$I$34,MATCH($A23,'Point requirements'!$A$7:$A$34,0)),"Aligned","Mismatch"),"Not recorded")))</x:f>
        <x:v>Not applicable</x:v>
      </x:c>
      <x:c r="K23" s="21" t="str">
        <x:f>IF(OR(COUNTIFS(C23:J23,"Source missing")&gt;0,N23="Source missing"),"Source missing",IF(AND(COUNTIFS(C23:J23,"Aligned")+COUNTIFS(C23:J23,"Not applicable")+COUNTIFS(C23:J23,"Not required")=8,OR(N23="Aligned",N23="Not applicable")),"Aligned","Follow-up"))</x:f>
        <x:v>Aligned</x:v>
      </x:c>
      <x:c r="L23" s="27" t="str">
        <x:f>IF(COUNTIFS('Point requirements'!$A$7:$A$34,$A23)&lt;&gt;1,"Source missing",INDEX('Point requirements'!$K$7:$K$34,MATCH($A23,'Point requirements'!$A$7:$A$34,0)))</x:f>
        <x:v>None</x:v>
      </x:c>
      <x:c r="M23" s="21" t="str">
        <x:f>IF(AND(K23="Aligned",L23="None"),"Aligned","Follow-up")</x:f>
        <x:v>Aligned</x:v>
      </x:c>
      <x:c r="N23" s="21" t="str">
        <x:f>IF(C23="Source missing","Source missing",IF(INDEX('Point requirements'!$N$7:$N$34,MATCH($A23,'Point requirements'!$A$7:$A$34,0))="Not required","Not applicable",IF(INDEX('Config records'!$M$7:$M$62,MATCH("Baseline:"&amp;$A23,'Config records'!$A$7:$A$62,0))=INDEX('Point requirements'!$N$7:$N$34,MATCH($A23,'Point requirements'!$A$7:$A$34,0)),"Aligned","Mismatch")))</x:f>
        <x:v>Not applicable</x:v>
      </x:c>
    </x:row>
    <x:row r="24" ht="42" customHeight="1">
      <x:c r="A24" s="28" t="str">
        <x:v>P18</x:v>
      </x:c>
      <x:c r="B24" s="24" t="str">
        <x:f>IF(COUNTIFS('Point requirements'!$A$7:$A$34,$A24)&lt;&gt;1,"Source missing",INDEX('Point requirements'!$B$7:$B$34,MATCH($A24,'Point requirements'!$A$7:$A$34,0)))</x:f>
        <x:v>Outdoor-air damper command</x:v>
      </x:c>
      <x:c r="C24" s="24" t="str">
        <x:f>IF(OR($A24="",COUNTIFS('Point requirements'!$A$7:$A$34,$A24)&lt;&gt;1,COUNTIFS('Config records'!$A$7:$A$62,"Baseline:"&amp;$A24)&lt;&gt;1,COUNTIFS($A$7:$A$34,$A24)&lt;&gt;1),"Source missing",IF(OR(INDEX('Point requirements'!$C$7:$C$34,MATCH($A24,'Point requirements'!$A$7:$A$34,0))="",INDEX('Point requirements'!$O$7:$O$34,MATCH($A24,'Point requirements'!$A$7:$A$34,0))="",INDEX('Config records'!$D$7:$D$62,MATCH("Baseline:"&amp;$A24,'Config records'!$A$7:$A$62,0))="",INDEX('Config records'!$N$7:$N$62,MATCH("Baseline:"&amp;$A24,'Config records'!$A$7:$A$62,0))=""),"Source missing",IF(AND(INDEX('Config records'!$D$7:$D$62,MATCH("Baseline:"&amp;$A24,'Config records'!$A$7:$A$62,0))=INDEX('Point requirements'!$C$7:$C$34,MATCH($A24,'Point requirements'!$A$7:$A$34,0)),INDEX('Config records'!$N$7:$N$62,MATCH("Baseline:"&amp;$A24,'Config records'!$A$7:$A$62,0))=INDEX('Point requirements'!$O$7:$O$34,MATCH($A24,'Point requirements'!$A$7:$A$34,0))),"Aligned","Mismatch")))</x:f>
        <x:v>Aligned</x:v>
      </x:c>
      <x:c r="D24" s="24" t="str">
        <x:f>IF(C24="Source missing","Source missing",IF(AND(INDEX('Point requirements'!$D$7:$D$34,MATCH($A24,'Point requirements'!$A$7:$A$34,0))&lt;&gt;"Yes",INDEX('Point requirements'!$D$7:$D$34,MATCH($A24,'Point requirements'!$A$7:$A$34,0))&lt;&gt;"No"),"Source missing",IF(INDEX('Point requirements'!$D$7:$D$34,MATCH($A24,'Point requirements'!$A$7:$A$34,0))="No","Not required",IF(INDEX('Config records'!$E$7:$E$62,MATCH("Baseline:"&amp;$A24,'Config records'!$A$7:$A$62,0))="Yes","Aligned","Missing display"))))</x:f>
        <x:v>Aligned</x:v>
      </x:c>
      <x:c r="E24" s="24" t="str">
        <x:f>IF(C24="Source missing","Source missing",IF(D24="Not required","Not applicable",IF(D24="Missing display","Not assessed",IF(INDEX('Config records'!$F$7:$F$62,MATCH("Baseline:"&amp;$A24,'Config records'!$A$7:$A$62,0))=INDEX('Point requirements'!$C$7:$C$34,MATCH($A24,'Point requirements'!$A$7:$A$34,0)),"Aligned","Mismatch"))))</x:f>
        <x:v>Aligned</x:v>
      </x:c>
      <x:c r="F24" s="24" t="str">
        <x:f>IF(C24="Source missing","Source missing",IF(D24="Not required","Not applicable",IF(D24="Missing display","Not assessed",IF(INDEX('Config records'!$G$7:$G$62,MATCH("Baseline:"&amp;$A24,'Config records'!$A$7:$A$62,0))=INDEX('Point requirements'!$E$7:$E$34,MATCH($A24,'Point requirements'!$A$7:$A$34,0)),"Aligned","Mismatch"))))</x:f>
        <x:v>Aligned</x:v>
      </x:c>
      <x:c r="G24" s="24" t="str">
        <x:f>IF(C24="Source missing","Source missing",IF(D24="Not required","Not applicable",IF(D24="Missing display","Not assessed",IF(INDEX('Config records'!$H$7:$H$62,MATCH("Baseline:"&amp;$A24,'Config records'!$A$7:$A$62,0))=INDEX('Point requirements'!$F$7:$F$34,MATCH($A24,'Point requirements'!$A$7:$A$34,0)),"Aligned","Mismatch"))))</x:f>
        <x:v>Aligned</x:v>
      </x:c>
      <x:c r="H24" s="24" t="str">
        <x:f>IF(C24="Source missing","Source missing",IF(D24="Not required","Not applicable",IF(D24="Missing display","Not assessed",IF(INDEX('Config records'!$I$7:$I$62,MATCH("Baseline:"&amp;$A24,'Config records'!$A$7:$A$62,0))=INDEX('Point requirements'!$G$7:$G$34,MATCH($A24,'Point requirements'!$A$7:$A$34,0)),"Aligned","Mismatch"))))</x:f>
        <x:v>Aligned</x:v>
      </x:c>
      <x:c r="I24" s="24" t="str">
        <x:f>IF(C24="Source missing","Source missing",IF(D24="Not required","Not applicable",IF(D24="Missing display","Not assessed",IF(INDEX('Config records'!$J$7:$J$62,MATCH("Baseline:"&amp;$A24,'Config records'!$A$7:$A$62,0))=INDEX('Point requirements'!$H$7:$H$34,MATCH($A24,'Point requirements'!$A$7:$A$34,0)),"Aligned","Mismatch"))))</x:f>
        <x:v>Aligned</x:v>
      </x:c>
      <x:c r="J24" s="24" t="str">
        <x:f>IF(C24="Source missing","Source missing",IF(INDEX('Point requirements'!$I$7:$I$34,MATCH($A24,'Point requirements'!$A$7:$A$34,0))="Not specified","Not applicable",IF(AND(ISNUMBER(INDEX('Point requirements'!$I$7:$I$34,MATCH($A24,'Point requirements'!$A$7:$A$34,0))),ISNUMBER(INDEX('Config records'!$K$7:$K$62,MATCH("Baseline:"&amp;$A24,'Config records'!$A$7:$A$62,0)))),IF(INDEX('Config records'!$K$7:$K$62,MATCH("Baseline:"&amp;$A24,'Config records'!$A$7:$A$62,0))=INDEX('Point requirements'!$I$7:$I$34,MATCH($A24,'Point requirements'!$A$7:$A$34,0)),"Aligned","Mismatch"),"Not recorded")))</x:f>
        <x:v>Not applicable</x:v>
      </x:c>
      <x:c r="K24" s="24" t="str">
        <x:f>IF(OR(COUNTIFS(C24:J24,"Source missing")&gt;0,N24="Source missing"),"Source missing",IF(AND(COUNTIFS(C24:J24,"Aligned")+COUNTIFS(C24:J24,"Not applicable")+COUNTIFS(C24:J24,"Not required")=8,OR(N24="Aligned",N24="Not applicable")),"Aligned","Follow-up"))</x:f>
        <x:v>Aligned</x:v>
      </x:c>
      <x:c r="L24" s="28" t="str">
        <x:f>IF(COUNTIFS('Point requirements'!$A$7:$A$34,$A24)&lt;&gt;1,"Source missing",INDEX('Point requirements'!$K$7:$K$34,MATCH($A24,'Point requirements'!$A$7:$A$34,0)))</x:f>
        <x:v>None</x:v>
      </x:c>
      <x:c r="M24" s="24" t="str">
        <x:f>IF(AND(K24="Aligned",L24="None"),"Aligned","Follow-up")</x:f>
        <x:v>Aligned</x:v>
      </x:c>
      <x:c r="N24" s="24" t="str">
        <x:f>IF(C24="Source missing","Source missing",IF(INDEX('Point requirements'!$N$7:$N$34,MATCH($A24,'Point requirements'!$A$7:$A$34,0))="Not required","Not applicable",IF(INDEX('Config records'!$M$7:$M$62,MATCH("Baseline:"&amp;$A24,'Config records'!$A$7:$A$62,0))=INDEX('Point requirements'!$N$7:$N$34,MATCH($A24,'Point requirements'!$A$7:$A$34,0)),"Aligned","Mismatch")))</x:f>
        <x:v>Not applicable</x:v>
      </x:c>
    </x:row>
    <x:row r="25" ht="42" customHeight="1">
      <x:c r="A25" s="27" t="str">
        <x:v>P19</x:v>
      </x:c>
      <x:c r="B25" s="21" t="str">
        <x:f>IF(COUNTIFS('Point requirements'!$A$7:$A$34,$A25)&lt;&gt;1,"Source missing",INDEX('Point requirements'!$B$7:$B$34,MATCH($A25,'Point requirements'!$A$7:$A$34,0)))</x:f>
        <x:v>Exhaust-air damper command</x:v>
      </x:c>
      <x:c r="C25" s="21" t="str">
        <x:f>IF(OR($A25="",COUNTIFS('Point requirements'!$A$7:$A$34,$A25)&lt;&gt;1,COUNTIFS('Config records'!$A$7:$A$62,"Baseline:"&amp;$A25)&lt;&gt;1,COUNTIFS($A$7:$A$34,$A25)&lt;&gt;1),"Source missing",IF(OR(INDEX('Point requirements'!$C$7:$C$34,MATCH($A25,'Point requirements'!$A$7:$A$34,0))="",INDEX('Point requirements'!$O$7:$O$34,MATCH($A25,'Point requirements'!$A$7:$A$34,0))="",INDEX('Config records'!$D$7:$D$62,MATCH("Baseline:"&amp;$A25,'Config records'!$A$7:$A$62,0))="",INDEX('Config records'!$N$7:$N$62,MATCH("Baseline:"&amp;$A25,'Config records'!$A$7:$A$62,0))=""),"Source missing",IF(AND(INDEX('Config records'!$D$7:$D$62,MATCH("Baseline:"&amp;$A25,'Config records'!$A$7:$A$62,0))=INDEX('Point requirements'!$C$7:$C$34,MATCH($A25,'Point requirements'!$A$7:$A$34,0)),INDEX('Config records'!$N$7:$N$62,MATCH("Baseline:"&amp;$A25,'Config records'!$A$7:$A$62,0))=INDEX('Point requirements'!$O$7:$O$34,MATCH($A25,'Point requirements'!$A$7:$A$34,0))),"Aligned","Mismatch")))</x:f>
        <x:v>Aligned</x:v>
      </x:c>
      <x:c r="D25" s="21" t="str">
        <x:f>IF(C25="Source missing","Source missing",IF(AND(INDEX('Point requirements'!$D$7:$D$34,MATCH($A25,'Point requirements'!$A$7:$A$34,0))&lt;&gt;"Yes",INDEX('Point requirements'!$D$7:$D$34,MATCH($A25,'Point requirements'!$A$7:$A$34,0))&lt;&gt;"No"),"Source missing",IF(INDEX('Point requirements'!$D$7:$D$34,MATCH($A25,'Point requirements'!$A$7:$A$34,0))="No","Not required",IF(INDEX('Config records'!$E$7:$E$62,MATCH("Baseline:"&amp;$A25,'Config records'!$A$7:$A$62,0))="Yes","Aligned","Missing display"))))</x:f>
        <x:v>Aligned</x:v>
      </x:c>
      <x:c r="E25" s="21" t="str">
        <x:f>IF(C25="Source missing","Source missing",IF(D25="Not required","Not applicable",IF(D25="Missing display","Not assessed",IF(INDEX('Config records'!$F$7:$F$62,MATCH("Baseline:"&amp;$A25,'Config records'!$A$7:$A$62,0))=INDEX('Point requirements'!$C$7:$C$34,MATCH($A25,'Point requirements'!$A$7:$A$34,0)),"Aligned","Mismatch"))))</x:f>
        <x:v>Aligned</x:v>
      </x:c>
      <x:c r="F25" s="21" t="str">
        <x:f>IF(C25="Source missing","Source missing",IF(D25="Not required","Not applicable",IF(D25="Missing display","Not assessed",IF(INDEX('Config records'!$G$7:$G$62,MATCH("Baseline:"&amp;$A25,'Config records'!$A$7:$A$62,0))=INDEX('Point requirements'!$E$7:$E$34,MATCH($A25,'Point requirements'!$A$7:$A$34,0)),"Aligned","Mismatch"))))</x:f>
        <x:v>Aligned</x:v>
      </x:c>
      <x:c r="G25" s="21" t="str">
        <x:f>IF(C25="Source missing","Source missing",IF(D25="Not required","Not applicable",IF(D25="Missing display","Not assessed",IF(INDEX('Config records'!$H$7:$H$62,MATCH("Baseline:"&amp;$A25,'Config records'!$A$7:$A$62,0))=INDEX('Point requirements'!$F$7:$F$34,MATCH($A25,'Point requirements'!$A$7:$A$34,0)),"Aligned","Mismatch"))))</x:f>
        <x:v>Aligned</x:v>
      </x:c>
      <x:c r="H25" s="21" t="str">
        <x:f>IF(C25="Source missing","Source missing",IF(D25="Not required","Not applicable",IF(D25="Missing display","Not assessed",IF(INDEX('Config records'!$I$7:$I$62,MATCH("Baseline:"&amp;$A25,'Config records'!$A$7:$A$62,0))=INDEX('Point requirements'!$G$7:$G$34,MATCH($A25,'Point requirements'!$A$7:$A$34,0)),"Aligned","Mismatch"))))</x:f>
        <x:v>Aligned</x:v>
      </x:c>
      <x:c r="I25" s="21" t="str">
        <x:f>IF(C25="Source missing","Source missing",IF(D25="Not required","Not applicable",IF(D25="Missing display","Not assessed",IF(INDEX('Config records'!$J$7:$J$62,MATCH("Baseline:"&amp;$A25,'Config records'!$A$7:$A$62,0))=INDEX('Point requirements'!$H$7:$H$34,MATCH($A25,'Point requirements'!$A$7:$A$34,0)),"Aligned","Mismatch"))))</x:f>
        <x:v>Aligned</x:v>
      </x:c>
      <x:c r="J25" s="21" t="str">
        <x:f>IF(C25="Source missing","Source missing",IF(INDEX('Point requirements'!$I$7:$I$34,MATCH($A25,'Point requirements'!$A$7:$A$34,0))="Not specified","Not applicable",IF(AND(ISNUMBER(INDEX('Point requirements'!$I$7:$I$34,MATCH($A25,'Point requirements'!$A$7:$A$34,0))),ISNUMBER(INDEX('Config records'!$K$7:$K$62,MATCH("Baseline:"&amp;$A25,'Config records'!$A$7:$A$62,0)))),IF(INDEX('Config records'!$K$7:$K$62,MATCH("Baseline:"&amp;$A25,'Config records'!$A$7:$A$62,0))=INDEX('Point requirements'!$I$7:$I$34,MATCH($A25,'Point requirements'!$A$7:$A$34,0)),"Aligned","Mismatch"),"Not recorded")))</x:f>
        <x:v>Not applicable</x:v>
      </x:c>
      <x:c r="K25" s="21" t="str">
        <x:f>IF(OR(COUNTIFS(C25:J25,"Source missing")&gt;0,N25="Source missing"),"Source missing",IF(AND(COUNTIFS(C25:J25,"Aligned")+COUNTIFS(C25:J25,"Not applicable")+COUNTIFS(C25:J25,"Not required")=8,OR(N25="Aligned",N25="Not applicable")),"Aligned","Follow-up"))</x:f>
        <x:v>Aligned</x:v>
      </x:c>
      <x:c r="L25" s="27" t="str">
        <x:f>IF(COUNTIFS('Point requirements'!$A$7:$A$34,$A25)&lt;&gt;1,"Source missing",INDEX('Point requirements'!$K$7:$K$34,MATCH($A25,'Point requirements'!$A$7:$A$34,0)))</x:f>
        <x:v>None</x:v>
      </x:c>
      <x:c r="M25" s="21" t="str">
        <x:f>IF(AND(K25="Aligned",L25="None"),"Aligned","Follow-up")</x:f>
        <x:v>Aligned</x:v>
      </x:c>
      <x:c r="N25" s="21" t="str">
        <x:f>IF(C25="Source missing","Source missing",IF(INDEX('Point requirements'!$N$7:$N$34,MATCH($A25,'Point requirements'!$A$7:$A$34,0))="Not required","Not applicable",IF(INDEX('Config records'!$M$7:$M$62,MATCH("Baseline:"&amp;$A25,'Config records'!$A$7:$A$62,0))=INDEX('Point requirements'!$N$7:$N$34,MATCH($A25,'Point requirements'!$A$7:$A$34,0)),"Aligned","Mismatch")))</x:f>
        <x:v>Not applicable</x:v>
      </x:c>
    </x:row>
    <x:row r="26" ht="42" customHeight="1">
      <x:c r="A26" s="28" t="str">
        <x:v>P20</x:v>
      </x:c>
      <x:c r="B26" s="24" t="str">
        <x:f>IF(COUNTIFS('Point requirements'!$A$7:$A$34,$A26)&lt;&gt;1,"Source missing",INDEX('Point requirements'!$B$7:$B$34,MATCH($A26,'Point requirements'!$A$7:$A$34,0)))</x:f>
        <x:v>Return-air damper command</x:v>
      </x:c>
      <x:c r="C26" s="24" t="str">
        <x:f>IF(OR($A26="",COUNTIFS('Point requirements'!$A$7:$A$34,$A26)&lt;&gt;1,COUNTIFS('Config records'!$A$7:$A$62,"Baseline:"&amp;$A26)&lt;&gt;1,COUNTIFS($A$7:$A$34,$A26)&lt;&gt;1),"Source missing",IF(OR(INDEX('Point requirements'!$C$7:$C$34,MATCH($A26,'Point requirements'!$A$7:$A$34,0))="",INDEX('Point requirements'!$O$7:$O$34,MATCH($A26,'Point requirements'!$A$7:$A$34,0))="",INDEX('Config records'!$D$7:$D$62,MATCH("Baseline:"&amp;$A26,'Config records'!$A$7:$A$62,0))="",INDEX('Config records'!$N$7:$N$62,MATCH("Baseline:"&amp;$A26,'Config records'!$A$7:$A$62,0))=""),"Source missing",IF(AND(INDEX('Config records'!$D$7:$D$62,MATCH("Baseline:"&amp;$A26,'Config records'!$A$7:$A$62,0))=INDEX('Point requirements'!$C$7:$C$34,MATCH($A26,'Point requirements'!$A$7:$A$34,0)),INDEX('Config records'!$N$7:$N$62,MATCH("Baseline:"&amp;$A26,'Config records'!$A$7:$A$62,0))=INDEX('Point requirements'!$O$7:$O$34,MATCH($A26,'Point requirements'!$A$7:$A$34,0))),"Aligned","Mismatch")))</x:f>
        <x:v>Aligned</x:v>
      </x:c>
      <x:c r="D26" s="24" t="str">
        <x:f>IF(C26="Source missing","Source missing",IF(AND(INDEX('Point requirements'!$D$7:$D$34,MATCH($A26,'Point requirements'!$A$7:$A$34,0))&lt;&gt;"Yes",INDEX('Point requirements'!$D$7:$D$34,MATCH($A26,'Point requirements'!$A$7:$A$34,0))&lt;&gt;"No"),"Source missing",IF(INDEX('Point requirements'!$D$7:$D$34,MATCH($A26,'Point requirements'!$A$7:$A$34,0))="No","Not required",IF(INDEX('Config records'!$E$7:$E$62,MATCH("Baseline:"&amp;$A26,'Config records'!$A$7:$A$62,0))="Yes","Aligned","Missing display"))))</x:f>
        <x:v>Aligned</x:v>
      </x:c>
      <x:c r="E26" s="24" t="str">
        <x:f>IF(C26="Source missing","Source missing",IF(D26="Not required","Not applicable",IF(D26="Missing display","Not assessed",IF(INDEX('Config records'!$F$7:$F$62,MATCH("Baseline:"&amp;$A26,'Config records'!$A$7:$A$62,0))=INDEX('Point requirements'!$C$7:$C$34,MATCH($A26,'Point requirements'!$A$7:$A$34,0)),"Aligned","Mismatch"))))</x:f>
        <x:v>Aligned</x:v>
      </x:c>
      <x:c r="F26" s="24" t="str">
        <x:f>IF(C26="Source missing","Source missing",IF(D26="Not required","Not applicable",IF(D26="Missing display","Not assessed",IF(INDEX('Config records'!$G$7:$G$62,MATCH("Baseline:"&amp;$A26,'Config records'!$A$7:$A$62,0))=INDEX('Point requirements'!$E$7:$E$34,MATCH($A26,'Point requirements'!$A$7:$A$34,0)),"Aligned","Mismatch"))))</x:f>
        <x:v>Aligned</x:v>
      </x:c>
      <x:c r="G26" s="24" t="str">
        <x:f>IF(C26="Source missing","Source missing",IF(D26="Not required","Not applicable",IF(D26="Missing display","Not assessed",IF(INDEX('Config records'!$H$7:$H$62,MATCH("Baseline:"&amp;$A26,'Config records'!$A$7:$A$62,0))=INDEX('Point requirements'!$F$7:$F$34,MATCH($A26,'Point requirements'!$A$7:$A$34,0)),"Aligned","Mismatch"))))</x:f>
        <x:v>Aligned</x:v>
      </x:c>
      <x:c r="H26" s="24" t="str">
        <x:f>IF(C26="Source missing","Source missing",IF(D26="Not required","Not applicable",IF(D26="Missing display","Not assessed",IF(INDEX('Config records'!$I$7:$I$62,MATCH("Baseline:"&amp;$A26,'Config records'!$A$7:$A$62,0))=INDEX('Point requirements'!$G$7:$G$34,MATCH($A26,'Point requirements'!$A$7:$A$34,0)),"Aligned","Mismatch"))))</x:f>
        <x:v>Aligned</x:v>
      </x:c>
      <x:c r="I26" s="24" t="str">
        <x:f>IF(C26="Source missing","Source missing",IF(D26="Not required","Not applicable",IF(D26="Missing display","Not assessed",IF(INDEX('Config records'!$J$7:$J$62,MATCH("Baseline:"&amp;$A26,'Config records'!$A$7:$A$62,0))=INDEX('Point requirements'!$H$7:$H$34,MATCH($A26,'Point requirements'!$A$7:$A$34,0)),"Aligned","Mismatch"))))</x:f>
        <x:v>Aligned</x:v>
      </x:c>
      <x:c r="J26" s="24" t="str">
        <x:f>IF(C26="Source missing","Source missing",IF(INDEX('Point requirements'!$I$7:$I$34,MATCH($A26,'Point requirements'!$A$7:$A$34,0))="Not specified","Not applicable",IF(AND(ISNUMBER(INDEX('Point requirements'!$I$7:$I$34,MATCH($A26,'Point requirements'!$A$7:$A$34,0))),ISNUMBER(INDEX('Config records'!$K$7:$K$62,MATCH("Baseline:"&amp;$A26,'Config records'!$A$7:$A$62,0)))),IF(INDEX('Config records'!$K$7:$K$62,MATCH("Baseline:"&amp;$A26,'Config records'!$A$7:$A$62,0))=INDEX('Point requirements'!$I$7:$I$34,MATCH($A26,'Point requirements'!$A$7:$A$34,0)),"Aligned","Mismatch"),"Not recorded")))</x:f>
        <x:v>Not applicable</x:v>
      </x:c>
      <x:c r="K26" s="24" t="str">
        <x:f>IF(OR(COUNTIFS(C26:J26,"Source missing")&gt;0,N26="Source missing"),"Source missing",IF(AND(COUNTIFS(C26:J26,"Aligned")+COUNTIFS(C26:J26,"Not applicable")+COUNTIFS(C26:J26,"Not required")=8,OR(N26="Aligned",N26="Not applicable")),"Aligned","Follow-up"))</x:f>
        <x:v>Aligned</x:v>
      </x:c>
      <x:c r="L26" s="28" t="str">
        <x:f>IF(COUNTIFS('Point requirements'!$A$7:$A$34,$A26)&lt;&gt;1,"Source missing",INDEX('Point requirements'!$K$7:$K$34,MATCH($A26,'Point requirements'!$A$7:$A$34,0)))</x:f>
        <x:v>None</x:v>
      </x:c>
      <x:c r="M26" s="24" t="str">
        <x:f>IF(AND(K26="Aligned",L26="None"),"Aligned","Follow-up")</x:f>
        <x:v>Aligned</x:v>
      </x:c>
      <x:c r="N26" s="24" t="str">
        <x:f>IF(C26="Source missing","Source missing",IF(INDEX('Point requirements'!$N$7:$N$34,MATCH($A26,'Point requirements'!$A$7:$A$34,0))="Not required","Not applicable",IF(INDEX('Config records'!$M$7:$M$62,MATCH("Baseline:"&amp;$A26,'Config records'!$A$7:$A$62,0))=INDEX('Point requirements'!$N$7:$N$34,MATCH($A26,'Point requirements'!$A$7:$A$34,0)),"Aligned","Mismatch")))</x:f>
        <x:v>Not applicable</x:v>
      </x:c>
    </x:row>
    <x:row r="27" ht="42" customHeight="1">
      <x:c r="A27" s="27" t="str">
        <x:v>P21</x:v>
      </x:c>
      <x:c r="B27" s="21" t="str">
        <x:f>IF(COUNTIFS('Point requirements'!$A$7:$A$34,$A27)&lt;&gt;1,"Source missing",INDEX('Point requirements'!$B$7:$B$34,MATCH($A27,'Point requirements'!$A$7:$A$34,0)))</x:f>
        <x:v>Operating mode (Off / Auto / Manual)</x:v>
      </x:c>
      <x:c r="C27" s="21" t="str">
        <x:f>IF(OR($A27="",COUNTIFS('Point requirements'!$A$7:$A$34,$A27)&lt;&gt;1,COUNTIFS('Config records'!$A$7:$A$62,"Baseline:"&amp;$A27)&lt;&gt;1,COUNTIFS($A$7:$A$34,$A27)&lt;&gt;1),"Source missing",IF(OR(INDEX('Point requirements'!$C$7:$C$34,MATCH($A27,'Point requirements'!$A$7:$A$34,0))="",INDEX('Point requirements'!$O$7:$O$34,MATCH($A27,'Point requirements'!$A$7:$A$34,0))="",INDEX('Config records'!$D$7:$D$62,MATCH("Baseline:"&amp;$A27,'Config records'!$A$7:$A$62,0))="",INDEX('Config records'!$N$7:$N$62,MATCH("Baseline:"&amp;$A27,'Config records'!$A$7:$A$62,0))=""),"Source missing",IF(AND(INDEX('Config records'!$D$7:$D$62,MATCH("Baseline:"&amp;$A27,'Config records'!$A$7:$A$62,0))=INDEX('Point requirements'!$C$7:$C$34,MATCH($A27,'Point requirements'!$A$7:$A$34,0)),INDEX('Config records'!$N$7:$N$62,MATCH("Baseline:"&amp;$A27,'Config records'!$A$7:$A$62,0))=INDEX('Point requirements'!$O$7:$O$34,MATCH($A27,'Point requirements'!$A$7:$A$34,0))),"Aligned","Mismatch")))</x:f>
        <x:v>Aligned</x:v>
      </x:c>
      <x:c r="D27" s="21" t="str">
        <x:f>IF(C27="Source missing","Source missing",IF(AND(INDEX('Point requirements'!$D$7:$D$34,MATCH($A27,'Point requirements'!$A$7:$A$34,0))&lt;&gt;"Yes",INDEX('Point requirements'!$D$7:$D$34,MATCH($A27,'Point requirements'!$A$7:$A$34,0))&lt;&gt;"No"),"Source missing",IF(INDEX('Point requirements'!$D$7:$D$34,MATCH($A27,'Point requirements'!$A$7:$A$34,0))="No","Not required",IF(INDEX('Config records'!$E$7:$E$62,MATCH("Baseline:"&amp;$A27,'Config records'!$A$7:$A$62,0))="Yes","Aligned","Missing display"))))</x:f>
        <x:v>Aligned</x:v>
      </x:c>
      <x:c r="E27" s="21" t="str">
        <x:f>IF(C27="Source missing","Source missing",IF(D27="Not required","Not applicable",IF(D27="Missing display","Not assessed",IF(INDEX('Config records'!$F$7:$F$62,MATCH("Baseline:"&amp;$A27,'Config records'!$A$7:$A$62,0))=INDEX('Point requirements'!$C$7:$C$34,MATCH($A27,'Point requirements'!$A$7:$A$34,0)),"Aligned","Mismatch"))))</x:f>
        <x:v>Aligned</x:v>
      </x:c>
      <x:c r="F27" s="21" t="str">
        <x:f>IF(C27="Source missing","Source missing",IF(D27="Not required","Not applicable",IF(D27="Missing display","Not assessed",IF(INDEX('Config records'!$G$7:$G$62,MATCH("Baseline:"&amp;$A27,'Config records'!$A$7:$A$62,0))=INDEX('Point requirements'!$E$7:$E$34,MATCH($A27,'Point requirements'!$A$7:$A$34,0)),"Aligned","Mismatch"))))</x:f>
        <x:v>Aligned</x:v>
      </x:c>
      <x:c r="G27" s="21" t="str">
        <x:f>IF(C27="Source missing","Source missing",IF(D27="Not required","Not applicable",IF(D27="Missing display","Not assessed",IF(INDEX('Config records'!$H$7:$H$62,MATCH("Baseline:"&amp;$A27,'Config records'!$A$7:$A$62,0))=INDEX('Point requirements'!$F$7:$F$34,MATCH($A27,'Point requirements'!$A$7:$A$34,0)),"Aligned","Mismatch"))))</x:f>
        <x:v>Aligned</x:v>
      </x:c>
      <x:c r="H27" s="21" t="str">
        <x:f>IF(C27="Source missing","Source missing",IF(D27="Not required","Not applicable",IF(D27="Missing display","Not assessed",IF(INDEX('Config records'!$I$7:$I$62,MATCH("Baseline:"&amp;$A27,'Config records'!$A$7:$A$62,0))=INDEX('Point requirements'!$G$7:$G$34,MATCH($A27,'Point requirements'!$A$7:$A$34,0)),"Aligned","Mismatch"))))</x:f>
        <x:v>Aligned</x:v>
      </x:c>
      <x:c r="I27" s="21" t="str">
        <x:f>IF(C27="Source missing","Source missing",IF(D27="Not required","Not applicable",IF(D27="Missing display","Not assessed",IF(INDEX('Config records'!$J$7:$J$62,MATCH("Baseline:"&amp;$A27,'Config records'!$A$7:$A$62,0))=INDEX('Point requirements'!$H$7:$H$34,MATCH($A27,'Point requirements'!$A$7:$A$34,0)),"Aligned","Mismatch"))))</x:f>
        <x:v>Aligned</x:v>
      </x:c>
      <x:c r="J27" s="21" t="str">
        <x:f>IF(C27="Source missing","Source missing",IF(INDEX('Point requirements'!$I$7:$I$34,MATCH($A27,'Point requirements'!$A$7:$A$34,0))="Not specified","Not applicable",IF(AND(ISNUMBER(INDEX('Point requirements'!$I$7:$I$34,MATCH($A27,'Point requirements'!$A$7:$A$34,0))),ISNUMBER(INDEX('Config records'!$K$7:$K$62,MATCH("Baseline:"&amp;$A27,'Config records'!$A$7:$A$62,0)))),IF(INDEX('Config records'!$K$7:$K$62,MATCH("Baseline:"&amp;$A27,'Config records'!$A$7:$A$62,0))=INDEX('Point requirements'!$I$7:$I$34,MATCH($A27,'Point requirements'!$A$7:$A$34,0)),"Aligned","Mismatch"),"Not recorded")))</x:f>
        <x:v>Not applicable</x:v>
      </x:c>
      <x:c r="K27" s="21" t="str">
        <x:f>IF(OR(COUNTIFS(C27:J27,"Source missing")&gt;0,N27="Source missing"),"Source missing",IF(AND(COUNTIFS(C27:J27,"Aligned")+COUNTIFS(C27:J27,"Not applicable")+COUNTIFS(C27:J27,"Not required")=8,OR(N27="Aligned",N27="Not applicable")),"Aligned","Follow-up"))</x:f>
        <x:v>Aligned</x:v>
      </x:c>
      <x:c r="L27" s="27" t="str">
        <x:f>IF(COUNTIFS('Point requirements'!$A$7:$A$34,$A27)&lt;&gt;1,"Source missing",INDEX('Point requirements'!$K$7:$K$34,MATCH($A27,'Point requirements'!$A$7:$A$34,0)))</x:f>
        <x:v>None</x:v>
      </x:c>
      <x:c r="M27" s="21" t="str">
        <x:f>IF(AND(K27="Aligned",L27="None"),"Aligned","Follow-up")</x:f>
        <x:v>Aligned</x:v>
      </x:c>
      <x:c r="N27" s="21" t="str">
        <x:f>IF(C27="Source missing","Source missing",IF(INDEX('Point requirements'!$N$7:$N$34,MATCH($A27,'Point requirements'!$A$7:$A$34,0))="Not required","Not applicable",IF(INDEX('Config records'!$M$7:$M$62,MATCH("Baseline:"&amp;$A27,'Config records'!$A$7:$A$62,0))=INDEX('Point requirements'!$N$7:$N$34,MATCH($A27,'Point requirements'!$A$7:$A$34,0)),"Aligned","Mismatch")))</x:f>
        <x:v>Not applicable</x:v>
      </x:c>
    </x:row>
    <x:row r="28" ht="42" customHeight="1">
      <x:c r="A28" s="28" t="str">
        <x:v>P22</x:v>
      </x:c>
      <x:c r="B28" s="24" t="str">
        <x:f>IF(COUNTIFS('Point requirements'!$A$7:$A$34,$A28)&lt;&gt;1,"Source missing",INDEX('Point requirements'!$B$7:$B$34,MATCH($A28,'Point requirements'!$A$7:$A$34,0)))</x:f>
        <x:v>Supply-fan accumulated runtime</x:v>
      </x:c>
      <x:c r="C28" s="24" t="str">
        <x:f>IF(OR($A28="",COUNTIFS('Point requirements'!$A$7:$A$34,$A28)&lt;&gt;1,COUNTIFS('Config records'!$A$7:$A$62,"Baseline:"&amp;$A28)&lt;&gt;1,COUNTIFS($A$7:$A$34,$A28)&lt;&gt;1),"Source missing",IF(OR(INDEX('Point requirements'!$C$7:$C$34,MATCH($A28,'Point requirements'!$A$7:$A$34,0))="",INDEX('Point requirements'!$O$7:$O$34,MATCH($A28,'Point requirements'!$A$7:$A$34,0))="",INDEX('Config records'!$D$7:$D$62,MATCH("Baseline:"&amp;$A28,'Config records'!$A$7:$A$62,0))="",INDEX('Config records'!$N$7:$N$62,MATCH("Baseline:"&amp;$A28,'Config records'!$A$7:$A$62,0))=""),"Source missing",IF(AND(INDEX('Config records'!$D$7:$D$62,MATCH("Baseline:"&amp;$A28,'Config records'!$A$7:$A$62,0))=INDEX('Point requirements'!$C$7:$C$34,MATCH($A28,'Point requirements'!$A$7:$A$34,0)),INDEX('Config records'!$N$7:$N$62,MATCH("Baseline:"&amp;$A28,'Config records'!$A$7:$A$62,0))=INDEX('Point requirements'!$O$7:$O$34,MATCH($A28,'Point requirements'!$A$7:$A$34,0))),"Aligned","Mismatch")))</x:f>
        <x:v>Aligned</x:v>
      </x:c>
      <x:c r="D28" s="24" t="str">
        <x:f>IF(C28="Source missing","Source missing",IF(AND(INDEX('Point requirements'!$D$7:$D$34,MATCH($A28,'Point requirements'!$A$7:$A$34,0))&lt;&gt;"Yes",INDEX('Point requirements'!$D$7:$D$34,MATCH($A28,'Point requirements'!$A$7:$A$34,0))&lt;&gt;"No"),"Source missing",IF(INDEX('Point requirements'!$D$7:$D$34,MATCH($A28,'Point requirements'!$A$7:$A$34,0))="No","Not required",IF(INDEX('Config records'!$E$7:$E$62,MATCH("Baseline:"&amp;$A28,'Config records'!$A$7:$A$62,0))="Yes","Aligned","Missing display"))))</x:f>
        <x:v>Aligned</x:v>
      </x:c>
      <x:c r="E28" s="24" t="str">
        <x:f>IF(C28="Source missing","Source missing",IF(D28="Not required","Not applicable",IF(D28="Missing display","Not assessed",IF(INDEX('Config records'!$F$7:$F$62,MATCH("Baseline:"&amp;$A28,'Config records'!$A$7:$A$62,0))=INDEX('Point requirements'!$C$7:$C$34,MATCH($A28,'Point requirements'!$A$7:$A$34,0)),"Aligned","Mismatch"))))</x:f>
        <x:v>Aligned</x:v>
      </x:c>
      <x:c r="F28" s="24" t="str">
        <x:f>IF(C28="Source missing","Source missing",IF(D28="Not required","Not applicable",IF(D28="Missing display","Not assessed",IF(INDEX('Config records'!$G$7:$G$62,MATCH("Baseline:"&amp;$A28,'Config records'!$A$7:$A$62,0))=INDEX('Point requirements'!$E$7:$E$34,MATCH($A28,'Point requirements'!$A$7:$A$34,0)),"Aligned","Mismatch"))))</x:f>
        <x:v>Aligned</x:v>
      </x:c>
      <x:c r="G28" s="24" t="str">
        <x:f>IF(C28="Source missing","Source missing",IF(D28="Not required","Not applicable",IF(D28="Missing display","Not assessed",IF(INDEX('Config records'!$H$7:$H$62,MATCH("Baseline:"&amp;$A28,'Config records'!$A$7:$A$62,0))=INDEX('Point requirements'!$F$7:$F$34,MATCH($A28,'Point requirements'!$A$7:$A$34,0)),"Aligned","Mismatch"))))</x:f>
        <x:v>Aligned</x:v>
      </x:c>
      <x:c r="H28" s="24" t="str">
        <x:f>IF(C28="Source missing","Source missing",IF(D28="Not required","Not applicable",IF(D28="Missing display","Not assessed",IF(INDEX('Config records'!$I$7:$I$62,MATCH("Baseline:"&amp;$A28,'Config records'!$A$7:$A$62,0))=INDEX('Point requirements'!$G$7:$G$34,MATCH($A28,'Point requirements'!$A$7:$A$34,0)),"Aligned","Mismatch"))))</x:f>
        <x:v>Aligned</x:v>
      </x:c>
      <x:c r="I28" s="24" t="str">
        <x:f>IF(C28="Source missing","Source missing",IF(D28="Not required","Not applicable",IF(D28="Missing display","Not assessed",IF(INDEX('Config records'!$J$7:$J$62,MATCH("Baseline:"&amp;$A28,'Config records'!$A$7:$A$62,0))=INDEX('Point requirements'!$H$7:$H$34,MATCH($A28,'Point requirements'!$A$7:$A$34,0)),"Aligned","Mismatch"))))</x:f>
        <x:v>Aligned</x:v>
      </x:c>
      <x:c r="J28" s="24" t="str">
        <x:f>IF(C28="Source missing","Source missing",IF(INDEX('Point requirements'!$I$7:$I$34,MATCH($A28,'Point requirements'!$A$7:$A$34,0))="Not specified","Not applicable",IF(AND(ISNUMBER(INDEX('Point requirements'!$I$7:$I$34,MATCH($A28,'Point requirements'!$A$7:$A$34,0))),ISNUMBER(INDEX('Config records'!$K$7:$K$62,MATCH("Baseline:"&amp;$A28,'Config records'!$A$7:$A$62,0)))),IF(INDEX('Config records'!$K$7:$K$62,MATCH("Baseline:"&amp;$A28,'Config records'!$A$7:$A$62,0))=INDEX('Point requirements'!$I$7:$I$34,MATCH($A28,'Point requirements'!$A$7:$A$34,0)),"Aligned","Mismatch"),"Not recorded")))</x:f>
        <x:v>Not applicable</x:v>
      </x:c>
      <x:c r="K28" s="24" t="str">
        <x:f>IF(OR(COUNTIFS(C28:J28,"Source missing")&gt;0,N28="Source missing"),"Source missing",IF(AND(COUNTIFS(C28:J28,"Aligned")+COUNTIFS(C28:J28,"Not applicable")+COUNTIFS(C28:J28,"Not required")=8,OR(N28="Aligned",N28="Not applicable")),"Aligned","Follow-up"))</x:f>
        <x:v>Aligned</x:v>
      </x:c>
      <x:c r="L28" s="28" t="str">
        <x:f>IF(COUNTIFS('Point requirements'!$A$7:$A$34,$A28)&lt;&gt;1,"Source missing",INDEX('Point requirements'!$K$7:$K$34,MATCH($A28,'Point requirements'!$A$7:$A$34,0)))</x:f>
        <x:v>None</x:v>
      </x:c>
      <x:c r="M28" s="24" t="str">
        <x:f>IF(AND(K28="Aligned",L28="None"),"Aligned","Follow-up")</x:f>
        <x:v>Aligned</x:v>
      </x:c>
      <x:c r="N28" s="24" t="str">
        <x:f>IF(C28="Source missing","Source missing",IF(INDEX('Point requirements'!$N$7:$N$34,MATCH($A28,'Point requirements'!$A$7:$A$34,0))="Not required","Not applicable",IF(INDEX('Config records'!$M$7:$M$62,MATCH("Baseline:"&amp;$A28,'Config records'!$A$7:$A$62,0))=INDEX('Point requirements'!$N$7:$N$34,MATCH($A28,'Point requirements'!$A$7:$A$34,0)),"Aligned","Mismatch")))</x:f>
        <x:v>Not applicable</x:v>
      </x:c>
    </x:row>
    <x:row r="29" ht="42" customHeight="1">
      <x:c r="A29" s="27" t="str">
        <x:v>P23</x:v>
      </x:c>
      <x:c r="B29" s="21" t="str">
        <x:f>IF(COUNTIFS('Point requirements'!$A$7:$A$34,$A29)&lt;&gt;1,"Source missing",INDEX('Point requirements'!$B$7:$B$34,MATCH($A29,'Point requirements'!$A$7:$A$34,0)))</x:f>
        <x:v>Supply-fan start count</x:v>
      </x:c>
      <x:c r="C29" s="21" t="str">
        <x:f>IF(OR($A29="",COUNTIFS('Point requirements'!$A$7:$A$34,$A29)&lt;&gt;1,COUNTIFS('Config records'!$A$7:$A$62,"Baseline:"&amp;$A29)&lt;&gt;1,COUNTIFS($A$7:$A$34,$A29)&lt;&gt;1),"Source missing",IF(OR(INDEX('Point requirements'!$C$7:$C$34,MATCH($A29,'Point requirements'!$A$7:$A$34,0))="",INDEX('Point requirements'!$O$7:$O$34,MATCH($A29,'Point requirements'!$A$7:$A$34,0))="",INDEX('Config records'!$D$7:$D$62,MATCH("Baseline:"&amp;$A29,'Config records'!$A$7:$A$62,0))="",INDEX('Config records'!$N$7:$N$62,MATCH("Baseline:"&amp;$A29,'Config records'!$A$7:$A$62,0))=""),"Source missing",IF(AND(INDEX('Config records'!$D$7:$D$62,MATCH("Baseline:"&amp;$A29,'Config records'!$A$7:$A$62,0))=INDEX('Point requirements'!$C$7:$C$34,MATCH($A29,'Point requirements'!$A$7:$A$34,0)),INDEX('Config records'!$N$7:$N$62,MATCH("Baseline:"&amp;$A29,'Config records'!$A$7:$A$62,0))=INDEX('Point requirements'!$O$7:$O$34,MATCH($A29,'Point requirements'!$A$7:$A$34,0))),"Aligned","Mismatch")))</x:f>
        <x:v>Aligned</x:v>
      </x:c>
      <x:c r="D29" s="21" t="str">
        <x:f>IF(C29="Source missing","Source missing",IF(AND(INDEX('Point requirements'!$D$7:$D$34,MATCH($A29,'Point requirements'!$A$7:$A$34,0))&lt;&gt;"Yes",INDEX('Point requirements'!$D$7:$D$34,MATCH($A29,'Point requirements'!$A$7:$A$34,0))&lt;&gt;"No"),"Source missing",IF(INDEX('Point requirements'!$D$7:$D$34,MATCH($A29,'Point requirements'!$A$7:$A$34,0))="No","Not required",IF(INDEX('Config records'!$E$7:$E$62,MATCH("Baseline:"&amp;$A29,'Config records'!$A$7:$A$62,0))="Yes","Aligned","Missing display"))))</x:f>
        <x:v>Aligned</x:v>
      </x:c>
      <x:c r="E29" s="21" t="str">
        <x:f>IF(C29="Source missing","Source missing",IF(D29="Not required","Not applicable",IF(D29="Missing display","Not assessed",IF(INDEX('Config records'!$F$7:$F$62,MATCH("Baseline:"&amp;$A29,'Config records'!$A$7:$A$62,0))=INDEX('Point requirements'!$C$7:$C$34,MATCH($A29,'Point requirements'!$A$7:$A$34,0)),"Aligned","Mismatch"))))</x:f>
        <x:v>Aligned</x:v>
      </x:c>
      <x:c r="F29" s="21" t="str">
        <x:f>IF(C29="Source missing","Source missing",IF(D29="Not required","Not applicable",IF(D29="Missing display","Not assessed",IF(INDEX('Config records'!$G$7:$G$62,MATCH("Baseline:"&amp;$A29,'Config records'!$A$7:$A$62,0))=INDEX('Point requirements'!$E$7:$E$34,MATCH($A29,'Point requirements'!$A$7:$A$34,0)),"Aligned","Mismatch"))))</x:f>
        <x:v>Aligned</x:v>
      </x:c>
      <x:c r="G29" s="21" t="str">
        <x:f>IF(C29="Source missing","Source missing",IF(D29="Not required","Not applicable",IF(D29="Missing display","Not assessed",IF(INDEX('Config records'!$H$7:$H$62,MATCH("Baseline:"&amp;$A29,'Config records'!$A$7:$A$62,0))=INDEX('Point requirements'!$F$7:$F$34,MATCH($A29,'Point requirements'!$A$7:$A$34,0)),"Aligned","Mismatch"))))</x:f>
        <x:v>Aligned</x:v>
      </x:c>
      <x:c r="H29" s="21" t="str">
        <x:f>IF(C29="Source missing","Source missing",IF(D29="Not required","Not applicable",IF(D29="Missing display","Not assessed",IF(INDEX('Config records'!$I$7:$I$62,MATCH("Baseline:"&amp;$A29,'Config records'!$A$7:$A$62,0))=INDEX('Point requirements'!$G$7:$G$34,MATCH($A29,'Point requirements'!$A$7:$A$34,0)),"Aligned","Mismatch"))))</x:f>
        <x:v>Aligned</x:v>
      </x:c>
      <x:c r="I29" s="21" t="str">
        <x:f>IF(C29="Source missing","Source missing",IF(D29="Not required","Not applicable",IF(D29="Missing display","Not assessed",IF(INDEX('Config records'!$J$7:$J$62,MATCH("Baseline:"&amp;$A29,'Config records'!$A$7:$A$62,0))=INDEX('Point requirements'!$H$7:$H$34,MATCH($A29,'Point requirements'!$A$7:$A$34,0)),"Aligned","Mismatch"))))</x:f>
        <x:v>Aligned</x:v>
      </x:c>
      <x:c r="J29" s="21" t="str">
        <x:f>IF(C29="Source missing","Source missing",IF(INDEX('Point requirements'!$I$7:$I$34,MATCH($A29,'Point requirements'!$A$7:$A$34,0))="Not specified","Not applicable",IF(AND(ISNUMBER(INDEX('Point requirements'!$I$7:$I$34,MATCH($A29,'Point requirements'!$A$7:$A$34,0))),ISNUMBER(INDEX('Config records'!$K$7:$K$62,MATCH("Baseline:"&amp;$A29,'Config records'!$A$7:$A$62,0)))),IF(INDEX('Config records'!$K$7:$K$62,MATCH("Baseline:"&amp;$A29,'Config records'!$A$7:$A$62,0))=INDEX('Point requirements'!$I$7:$I$34,MATCH($A29,'Point requirements'!$A$7:$A$34,0)),"Aligned","Mismatch"),"Not recorded")))</x:f>
        <x:v>Not applicable</x:v>
      </x:c>
      <x:c r="K29" s="21" t="str">
        <x:f>IF(OR(COUNTIFS(C29:J29,"Source missing")&gt;0,N29="Source missing"),"Source missing",IF(AND(COUNTIFS(C29:J29,"Aligned")+COUNTIFS(C29:J29,"Not applicable")+COUNTIFS(C29:J29,"Not required")=8,OR(N29="Aligned",N29="Not applicable")),"Aligned","Follow-up"))</x:f>
        <x:v>Aligned</x:v>
      </x:c>
      <x:c r="L29" s="27" t="str">
        <x:f>IF(COUNTIFS('Point requirements'!$A$7:$A$34,$A29)&lt;&gt;1,"Source missing",INDEX('Point requirements'!$K$7:$K$34,MATCH($A29,'Point requirements'!$A$7:$A$34,0)))</x:f>
        <x:v>None</x:v>
      </x:c>
      <x:c r="M29" s="21" t="str">
        <x:f>IF(AND(K29="Aligned",L29="None"),"Aligned","Follow-up")</x:f>
        <x:v>Aligned</x:v>
      </x:c>
      <x:c r="N29" s="21" t="str">
        <x:f>IF(C29="Source missing","Source missing",IF(INDEX('Point requirements'!$N$7:$N$34,MATCH($A29,'Point requirements'!$A$7:$A$34,0))="Not required","Not applicable",IF(INDEX('Config records'!$M$7:$M$62,MATCH("Baseline:"&amp;$A29,'Config records'!$A$7:$A$62,0))=INDEX('Point requirements'!$N$7:$N$34,MATCH($A29,'Point requirements'!$A$7:$A$34,0)),"Aligned","Mismatch")))</x:f>
        <x:v>Not applicable</x:v>
      </x:c>
    </x:row>
    <x:row r="30" ht="42" customHeight="1">
      <x:c r="A30" s="28" t="str">
        <x:v>P24</x:v>
      </x:c>
      <x:c r="B30" s="24" t="str">
        <x:f>IF(COUNTIFS('Point requirements'!$A$7:$A$34,$A30)&lt;&gt;1,"Source missing",INDEX('Point requirements'!$B$7:$B$34,MATCH($A30,'Point requirements'!$A$7:$A$34,0)))</x:f>
        <x:v>Return-air relative humidity</x:v>
      </x:c>
      <x:c r="C30" s="24" t="str">
        <x:f>IF(OR($A30="",COUNTIFS('Point requirements'!$A$7:$A$34,$A30)&lt;&gt;1,COUNTIFS('Config records'!$A$7:$A$62,"Baseline:"&amp;$A30)&lt;&gt;1,COUNTIFS($A$7:$A$34,$A30)&lt;&gt;1),"Source missing",IF(OR(INDEX('Point requirements'!$C$7:$C$34,MATCH($A30,'Point requirements'!$A$7:$A$34,0))="",INDEX('Point requirements'!$O$7:$O$34,MATCH($A30,'Point requirements'!$A$7:$A$34,0))="",INDEX('Config records'!$D$7:$D$62,MATCH("Baseline:"&amp;$A30,'Config records'!$A$7:$A$62,0))="",INDEX('Config records'!$N$7:$N$62,MATCH("Baseline:"&amp;$A30,'Config records'!$A$7:$A$62,0))=""),"Source missing",IF(AND(INDEX('Config records'!$D$7:$D$62,MATCH("Baseline:"&amp;$A30,'Config records'!$A$7:$A$62,0))=INDEX('Point requirements'!$C$7:$C$34,MATCH($A30,'Point requirements'!$A$7:$A$34,0)),INDEX('Config records'!$N$7:$N$62,MATCH("Baseline:"&amp;$A30,'Config records'!$A$7:$A$62,0))=INDEX('Point requirements'!$O$7:$O$34,MATCH($A30,'Point requirements'!$A$7:$A$34,0))),"Aligned","Mismatch")))</x:f>
        <x:v>Aligned</x:v>
      </x:c>
      <x:c r="D30" s="24" t="str">
        <x:f>IF(C30="Source missing","Source missing",IF(AND(INDEX('Point requirements'!$D$7:$D$34,MATCH($A30,'Point requirements'!$A$7:$A$34,0))&lt;&gt;"Yes",INDEX('Point requirements'!$D$7:$D$34,MATCH($A30,'Point requirements'!$A$7:$A$34,0))&lt;&gt;"No"),"Source missing",IF(INDEX('Point requirements'!$D$7:$D$34,MATCH($A30,'Point requirements'!$A$7:$A$34,0))="No","Not required",IF(INDEX('Config records'!$E$7:$E$62,MATCH("Baseline:"&amp;$A30,'Config records'!$A$7:$A$62,0))="Yes","Aligned","Missing display"))))</x:f>
        <x:v>Aligned</x:v>
      </x:c>
      <x:c r="E30" s="24" t="str">
        <x:f>IF(C30="Source missing","Source missing",IF(D30="Not required","Not applicable",IF(D30="Missing display","Not assessed",IF(INDEX('Config records'!$F$7:$F$62,MATCH("Baseline:"&amp;$A30,'Config records'!$A$7:$A$62,0))=INDEX('Point requirements'!$C$7:$C$34,MATCH($A30,'Point requirements'!$A$7:$A$34,0)),"Aligned","Mismatch"))))</x:f>
        <x:v>Aligned</x:v>
      </x:c>
      <x:c r="F30" s="24" t="str">
        <x:f>IF(C30="Source missing","Source missing",IF(D30="Not required","Not applicable",IF(D30="Missing display","Not assessed",IF(INDEX('Config records'!$G$7:$G$62,MATCH("Baseline:"&amp;$A30,'Config records'!$A$7:$A$62,0))=INDEX('Point requirements'!$E$7:$E$34,MATCH($A30,'Point requirements'!$A$7:$A$34,0)),"Aligned","Mismatch"))))</x:f>
        <x:v>Aligned</x:v>
      </x:c>
      <x:c r="G30" s="24" t="str">
        <x:f>IF(C30="Source missing","Source missing",IF(D30="Not required","Not applicable",IF(D30="Missing display","Not assessed",IF(INDEX('Config records'!$H$7:$H$62,MATCH("Baseline:"&amp;$A30,'Config records'!$A$7:$A$62,0))=INDEX('Point requirements'!$F$7:$F$34,MATCH($A30,'Point requirements'!$A$7:$A$34,0)),"Aligned","Mismatch"))))</x:f>
        <x:v>Aligned</x:v>
      </x:c>
      <x:c r="H30" s="24" t="str">
        <x:f>IF(C30="Source missing","Source missing",IF(D30="Not required","Not applicable",IF(D30="Missing display","Not assessed",IF(INDEX('Config records'!$I$7:$I$62,MATCH("Baseline:"&amp;$A30,'Config records'!$A$7:$A$62,0))=INDEX('Point requirements'!$G$7:$G$34,MATCH($A30,'Point requirements'!$A$7:$A$34,0)),"Aligned","Mismatch"))))</x:f>
        <x:v>Aligned</x:v>
      </x:c>
      <x:c r="I30" s="24" t="str">
        <x:f>IF(C30="Source missing","Source missing",IF(D30="Not required","Not applicable",IF(D30="Missing display","Not assessed",IF(INDEX('Config records'!$J$7:$J$62,MATCH("Baseline:"&amp;$A30,'Config records'!$A$7:$A$62,0))=INDEX('Point requirements'!$H$7:$H$34,MATCH($A30,'Point requirements'!$A$7:$A$34,0)),"Aligned","Mismatch"))))</x:f>
        <x:v>Aligned</x:v>
      </x:c>
      <x:c r="J30" s="24" t="str">
        <x:f>IF(C30="Source missing","Source missing",IF(INDEX('Point requirements'!$I$7:$I$34,MATCH($A30,'Point requirements'!$A$7:$A$34,0))="Not specified","Not applicable",IF(AND(ISNUMBER(INDEX('Point requirements'!$I$7:$I$34,MATCH($A30,'Point requirements'!$A$7:$A$34,0))),ISNUMBER(INDEX('Config records'!$K$7:$K$62,MATCH("Baseline:"&amp;$A30,'Config records'!$A$7:$A$62,0)))),IF(INDEX('Config records'!$K$7:$K$62,MATCH("Baseline:"&amp;$A30,'Config records'!$A$7:$A$62,0))=INDEX('Point requirements'!$I$7:$I$34,MATCH($A30,'Point requirements'!$A$7:$A$34,0)),"Aligned","Mismatch"),"Not recorded")))</x:f>
        <x:v>Not applicable</x:v>
      </x:c>
      <x:c r="K30" s="24" t="str">
        <x:f>IF(OR(COUNTIFS(C30:J30,"Source missing")&gt;0,N30="Source missing"),"Source missing",IF(AND(COUNTIFS(C30:J30,"Aligned")+COUNTIFS(C30:J30,"Not applicable")+COUNTIFS(C30:J30,"Not required")=8,OR(N30="Aligned",N30="Not applicable")),"Aligned","Follow-up"))</x:f>
        <x:v>Aligned</x:v>
      </x:c>
      <x:c r="L30" s="28" t="str">
        <x:f>IF(COUNTIFS('Point requirements'!$A$7:$A$34,$A30)&lt;&gt;1,"Source missing",INDEX('Point requirements'!$K$7:$K$34,MATCH($A30,'Point requirements'!$A$7:$A$34,0)))</x:f>
        <x:v>None</x:v>
      </x:c>
      <x:c r="M30" s="24" t="str">
        <x:f>IF(AND(K30="Aligned",L30="None"),"Aligned","Follow-up")</x:f>
        <x:v>Aligned</x:v>
      </x:c>
      <x:c r="N30" s="24" t="str">
        <x:f>IF(C30="Source missing","Source missing",IF(INDEX('Point requirements'!$N$7:$N$34,MATCH($A30,'Point requirements'!$A$7:$A$34,0))="Not required","Not applicable",IF(INDEX('Config records'!$M$7:$M$62,MATCH("Baseline:"&amp;$A30,'Config records'!$A$7:$A$62,0))=INDEX('Point requirements'!$N$7:$N$34,MATCH($A30,'Point requirements'!$A$7:$A$34,0)),"Aligned","Mismatch")))</x:f>
        <x:v>Not applicable</x:v>
      </x:c>
    </x:row>
    <x:row r="31" ht="42" customHeight="1">
      <x:c r="A31" s="27" t="str">
        <x:v>P25</x:v>
      </x:c>
      <x:c r="B31" s="21" t="str">
        <x:f>IF(COUNTIFS('Point requirements'!$A$7:$A$34,$A31)&lt;&gt;1,"Source missing",INDEX('Point requirements'!$B$7:$B$34,MATCH($A31,'Point requirements'!$A$7:$A$34,0)))</x:f>
        <x:v>Return-air relative-humidity setpoint</x:v>
      </x:c>
      <x:c r="C31" s="21" t="str">
        <x:f>IF(OR($A31="",COUNTIFS('Point requirements'!$A$7:$A$34,$A31)&lt;&gt;1,COUNTIFS('Config records'!$A$7:$A$62,"Baseline:"&amp;$A31)&lt;&gt;1,COUNTIFS($A$7:$A$34,$A31)&lt;&gt;1),"Source missing",IF(OR(INDEX('Point requirements'!$C$7:$C$34,MATCH($A31,'Point requirements'!$A$7:$A$34,0))="",INDEX('Point requirements'!$O$7:$O$34,MATCH($A31,'Point requirements'!$A$7:$A$34,0))="",INDEX('Config records'!$D$7:$D$62,MATCH("Baseline:"&amp;$A31,'Config records'!$A$7:$A$62,0))="",INDEX('Config records'!$N$7:$N$62,MATCH("Baseline:"&amp;$A31,'Config records'!$A$7:$A$62,0))=""),"Source missing",IF(AND(INDEX('Config records'!$D$7:$D$62,MATCH("Baseline:"&amp;$A31,'Config records'!$A$7:$A$62,0))=INDEX('Point requirements'!$C$7:$C$34,MATCH($A31,'Point requirements'!$A$7:$A$34,0)),INDEX('Config records'!$N$7:$N$62,MATCH("Baseline:"&amp;$A31,'Config records'!$A$7:$A$62,0))=INDEX('Point requirements'!$O$7:$O$34,MATCH($A31,'Point requirements'!$A$7:$A$34,0))),"Aligned","Mismatch")))</x:f>
        <x:v>Aligned</x:v>
      </x:c>
      <x:c r="D31" s="21" t="str">
        <x:f>IF(C31="Source missing","Source missing",IF(AND(INDEX('Point requirements'!$D$7:$D$34,MATCH($A31,'Point requirements'!$A$7:$A$34,0))&lt;&gt;"Yes",INDEX('Point requirements'!$D$7:$D$34,MATCH($A31,'Point requirements'!$A$7:$A$34,0))&lt;&gt;"No"),"Source missing",IF(INDEX('Point requirements'!$D$7:$D$34,MATCH($A31,'Point requirements'!$A$7:$A$34,0))="No","Not required",IF(INDEX('Config records'!$E$7:$E$62,MATCH("Baseline:"&amp;$A31,'Config records'!$A$7:$A$62,0))="Yes","Aligned","Missing display"))))</x:f>
        <x:v>Aligned</x:v>
      </x:c>
      <x:c r="E31" s="21" t="str">
        <x:f>IF(C31="Source missing","Source missing",IF(D31="Not required","Not applicable",IF(D31="Missing display","Not assessed",IF(INDEX('Config records'!$F$7:$F$62,MATCH("Baseline:"&amp;$A31,'Config records'!$A$7:$A$62,0))=INDEX('Point requirements'!$C$7:$C$34,MATCH($A31,'Point requirements'!$A$7:$A$34,0)),"Aligned","Mismatch"))))</x:f>
        <x:v>Aligned</x:v>
      </x:c>
      <x:c r="F31" s="21" t="str">
        <x:f>IF(C31="Source missing","Source missing",IF(D31="Not required","Not applicable",IF(D31="Missing display","Not assessed",IF(INDEX('Config records'!$G$7:$G$62,MATCH("Baseline:"&amp;$A31,'Config records'!$A$7:$A$62,0))=INDEX('Point requirements'!$E$7:$E$34,MATCH($A31,'Point requirements'!$A$7:$A$34,0)),"Aligned","Mismatch"))))</x:f>
        <x:v>Aligned</x:v>
      </x:c>
      <x:c r="G31" s="21" t="str">
        <x:f>IF(C31="Source missing","Source missing",IF(D31="Not required","Not applicable",IF(D31="Missing display","Not assessed",IF(INDEX('Config records'!$H$7:$H$62,MATCH("Baseline:"&amp;$A31,'Config records'!$A$7:$A$62,0))=INDEX('Point requirements'!$F$7:$F$34,MATCH($A31,'Point requirements'!$A$7:$A$34,0)),"Aligned","Mismatch"))))</x:f>
        <x:v>Aligned</x:v>
      </x:c>
      <x:c r="H31" s="21" t="str">
        <x:f>IF(C31="Source missing","Source missing",IF(D31="Not required","Not applicable",IF(D31="Missing display","Not assessed",IF(INDEX('Config records'!$I$7:$I$62,MATCH("Baseline:"&amp;$A31,'Config records'!$A$7:$A$62,0))=INDEX('Point requirements'!$G$7:$G$34,MATCH($A31,'Point requirements'!$A$7:$A$34,0)),"Aligned","Mismatch"))))</x:f>
        <x:v>Aligned</x:v>
      </x:c>
      <x:c r="I31" s="21" t="str">
        <x:f>IF(C31="Source missing","Source missing",IF(D31="Not required","Not applicable",IF(D31="Missing display","Not assessed",IF(INDEX('Config records'!$J$7:$J$62,MATCH("Baseline:"&amp;$A31,'Config records'!$A$7:$A$62,0))=INDEX('Point requirements'!$H$7:$H$34,MATCH($A31,'Point requirements'!$A$7:$A$34,0)),"Aligned","Mismatch"))))</x:f>
        <x:v>Aligned</x:v>
      </x:c>
      <x:c r="J31" s="21" t="str">
        <x:f>IF(C31="Source missing","Source missing",IF(INDEX('Point requirements'!$I$7:$I$34,MATCH($A31,'Point requirements'!$A$7:$A$34,0))="Not specified","Not applicable",IF(AND(ISNUMBER(INDEX('Point requirements'!$I$7:$I$34,MATCH($A31,'Point requirements'!$A$7:$A$34,0))),ISNUMBER(INDEX('Config records'!$K$7:$K$62,MATCH("Baseline:"&amp;$A31,'Config records'!$A$7:$A$62,0)))),IF(INDEX('Config records'!$K$7:$K$62,MATCH("Baseline:"&amp;$A31,'Config records'!$A$7:$A$62,0))=INDEX('Point requirements'!$I$7:$I$34,MATCH($A31,'Point requirements'!$A$7:$A$34,0)),"Aligned","Mismatch"),"Not recorded")))</x:f>
        <x:v>Not applicable</x:v>
      </x:c>
      <x:c r="K31" s="21" t="str">
        <x:f>IF(OR(COUNTIFS(C31:J31,"Source missing")&gt;0,N31="Source missing"),"Source missing",IF(AND(COUNTIFS(C31:J31,"Aligned")+COUNTIFS(C31:J31,"Not applicable")+COUNTIFS(C31:J31,"Not required")=8,OR(N31="Aligned",N31="Not applicable")),"Aligned","Follow-up"))</x:f>
        <x:v>Aligned</x:v>
      </x:c>
      <x:c r="L31" s="27" t="str">
        <x:f>IF(COUNTIFS('Point requirements'!$A$7:$A$34,$A31)&lt;&gt;1,"Source missing",INDEX('Point requirements'!$K$7:$K$34,MATCH($A31,'Point requirements'!$A$7:$A$34,0)))</x:f>
        <x:v>None</x:v>
      </x:c>
      <x:c r="M31" s="21" t="str">
        <x:f>IF(AND(K31="Aligned",L31="None"),"Aligned","Follow-up")</x:f>
        <x:v>Aligned</x:v>
      </x:c>
      <x:c r="N31" s="21" t="str">
        <x:f>IF(C31="Source missing","Source missing",IF(INDEX('Point requirements'!$N$7:$N$34,MATCH($A31,'Point requirements'!$A$7:$A$34,0))="Not required","Not applicable",IF(INDEX('Config records'!$M$7:$M$62,MATCH("Baseline:"&amp;$A31,'Config records'!$A$7:$A$62,0))=INDEX('Point requirements'!$N$7:$N$34,MATCH($A31,'Point requirements'!$A$7:$A$34,0)),"Aligned","Mismatch")))</x:f>
        <x:v>Not applicable</x:v>
      </x:c>
    </x:row>
    <x:row r="32" ht="42" customHeight="1">
      <x:c r="A32" s="28" t="str">
        <x:v>P26</x:v>
      </x:c>
      <x:c r="B32" s="24" t="str">
        <x:f>IF(COUNTIFS('Point requirements'!$A$7:$A$34,$A32)&lt;&gt;1,"Source missing",INDEX('Point requirements'!$B$7:$B$34,MATCH($A32,'Point requirements'!$A$7:$A$34,0)))</x:f>
        <x:v>Humidifier output (ON/OFF)</x:v>
      </x:c>
      <x:c r="C32" s="24" t="str">
        <x:f>IF(OR($A32="",COUNTIFS('Point requirements'!$A$7:$A$34,$A32)&lt;&gt;1,COUNTIFS('Config records'!$A$7:$A$62,"Baseline:"&amp;$A32)&lt;&gt;1,COUNTIFS($A$7:$A$34,$A32)&lt;&gt;1),"Source missing",IF(OR(INDEX('Point requirements'!$C$7:$C$34,MATCH($A32,'Point requirements'!$A$7:$A$34,0))="",INDEX('Point requirements'!$O$7:$O$34,MATCH($A32,'Point requirements'!$A$7:$A$34,0))="",INDEX('Config records'!$D$7:$D$62,MATCH("Baseline:"&amp;$A32,'Config records'!$A$7:$A$62,0))="",INDEX('Config records'!$N$7:$N$62,MATCH("Baseline:"&amp;$A32,'Config records'!$A$7:$A$62,0))=""),"Source missing",IF(AND(INDEX('Config records'!$D$7:$D$62,MATCH("Baseline:"&amp;$A32,'Config records'!$A$7:$A$62,0))=INDEX('Point requirements'!$C$7:$C$34,MATCH($A32,'Point requirements'!$A$7:$A$34,0)),INDEX('Config records'!$N$7:$N$62,MATCH("Baseline:"&amp;$A32,'Config records'!$A$7:$A$62,0))=INDEX('Point requirements'!$O$7:$O$34,MATCH($A32,'Point requirements'!$A$7:$A$34,0))),"Aligned","Mismatch")))</x:f>
        <x:v>Aligned</x:v>
      </x:c>
      <x:c r="D32" s="24" t="str">
        <x:f>IF(C32="Source missing","Source missing",IF(AND(INDEX('Point requirements'!$D$7:$D$34,MATCH($A32,'Point requirements'!$A$7:$A$34,0))&lt;&gt;"Yes",INDEX('Point requirements'!$D$7:$D$34,MATCH($A32,'Point requirements'!$A$7:$A$34,0))&lt;&gt;"No"),"Source missing",IF(INDEX('Point requirements'!$D$7:$D$34,MATCH($A32,'Point requirements'!$A$7:$A$34,0))="No","Not required",IF(INDEX('Config records'!$E$7:$E$62,MATCH("Baseline:"&amp;$A32,'Config records'!$A$7:$A$62,0))="Yes","Aligned","Missing display"))))</x:f>
        <x:v>Aligned</x:v>
      </x:c>
      <x:c r="E32" s="24" t="str">
        <x:f>IF(C32="Source missing","Source missing",IF(D32="Not required","Not applicable",IF(D32="Missing display","Not assessed",IF(INDEX('Config records'!$F$7:$F$62,MATCH("Baseline:"&amp;$A32,'Config records'!$A$7:$A$62,0))=INDEX('Point requirements'!$C$7:$C$34,MATCH($A32,'Point requirements'!$A$7:$A$34,0)),"Aligned","Mismatch"))))</x:f>
        <x:v>Aligned</x:v>
      </x:c>
      <x:c r="F32" s="24" t="str">
        <x:f>IF(C32="Source missing","Source missing",IF(D32="Not required","Not applicable",IF(D32="Missing display","Not assessed",IF(INDEX('Config records'!$G$7:$G$62,MATCH("Baseline:"&amp;$A32,'Config records'!$A$7:$A$62,0))=INDEX('Point requirements'!$E$7:$E$34,MATCH($A32,'Point requirements'!$A$7:$A$34,0)),"Aligned","Mismatch"))))</x:f>
        <x:v>Aligned</x:v>
      </x:c>
      <x:c r="G32" s="24" t="str">
        <x:f>IF(C32="Source missing","Source missing",IF(D32="Not required","Not applicable",IF(D32="Missing display","Not assessed",IF(INDEX('Config records'!$H$7:$H$62,MATCH("Baseline:"&amp;$A32,'Config records'!$A$7:$A$62,0))=INDEX('Point requirements'!$F$7:$F$34,MATCH($A32,'Point requirements'!$A$7:$A$34,0)),"Aligned","Mismatch"))))</x:f>
        <x:v>Aligned</x:v>
      </x:c>
      <x:c r="H32" s="24" t="str">
        <x:f>IF(C32="Source missing","Source missing",IF(D32="Not required","Not applicable",IF(D32="Missing display","Not assessed",IF(INDEX('Config records'!$I$7:$I$62,MATCH("Baseline:"&amp;$A32,'Config records'!$A$7:$A$62,0))=INDEX('Point requirements'!$G$7:$G$34,MATCH($A32,'Point requirements'!$A$7:$A$34,0)),"Aligned","Mismatch"))))</x:f>
        <x:v>Aligned</x:v>
      </x:c>
      <x:c r="I32" s="24" t="str">
        <x:f>IF(C32="Source missing","Source missing",IF(D32="Not required","Not applicable",IF(D32="Missing display","Not assessed",IF(INDEX('Config records'!$J$7:$J$62,MATCH("Baseline:"&amp;$A32,'Config records'!$A$7:$A$62,0))=INDEX('Point requirements'!$H$7:$H$34,MATCH($A32,'Point requirements'!$A$7:$A$34,0)),"Aligned","Mismatch"))))</x:f>
        <x:v>Aligned</x:v>
      </x:c>
      <x:c r="J32" s="24" t="str">
        <x:f>IF(C32="Source missing","Source missing",IF(INDEX('Point requirements'!$I$7:$I$34,MATCH($A32,'Point requirements'!$A$7:$A$34,0))="Not specified","Not applicable",IF(AND(ISNUMBER(INDEX('Point requirements'!$I$7:$I$34,MATCH($A32,'Point requirements'!$A$7:$A$34,0))),ISNUMBER(INDEX('Config records'!$K$7:$K$62,MATCH("Baseline:"&amp;$A32,'Config records'!$A$7:$A$62,0)))),IF(INDEX('Config records'!$K$7:$K$62,MATCH("Baseline:"&amp;$A32,'Config records'!$A$7:$A$62,0))=INDEX('Point requirements'!$I$7:$I$34,MATCH($A32,'Point requirements'!$A$7:$A$34,0)),"Aligned","Mismatch"),"Not recorded")))</x:f>
        <x:v>Not applicable</x:v>
      </x:c>
      <x:c r="K32" s="24" t="str">
        <x:f>IF(OR(COUNTIFS(C32:J32,"Source missing")&gt;0,N32="Source missing"),"Source missing",IF(AND(COUNTIFS(C32:J32,"Aligned")+COUNTIFS(C32:J32,"Not applicable")+COUNTIFS(C32:J32,"Not required")=8,OR(N32="Aligned",N32="Not applicable")),"Aligned","Follow-up"))</x:f>
        <x:v>Aligned</x:v>
      </x:c>
      <x:c r="L32" s="28" t="str">
        <x:f>IF(COUNTIFS('Point requirements'!$A$7:$A$34,$A32)&lt;&gt;1,"Source missing",INDEX('Point requirements'!$K$7:$K$34,MATCH($A32,'Point requirements'!$A$7:$A$34,0)))</x:f>
        <x:v>None</x:v>
      </x:c>
      <x:c r="M32" s="24" t="str">
        <x:f>IF(AND(K32="Aligned",L32="None"),"Aligned","Follow-up")</x:f>
        <x:v>Aligned</x:v>
      </x:c>
      <x:c r="N32" s="24" t="str">
        <x:f>IF(C32="Source missing","Source missing",IF(INDEX('Point requirements'!$N$7:$N$34,MATCH($A32,'Point requirements'!$A$7:$A$34,0))="Not required","Not applicable",IF(INDEX('Config records'!$M$7:$M$62,MATCH("Baseline:"&amp;$A32,'Config records'!$A$7:$A$62,0))=INDEX('Point requirements'!$N$7:$N$34,MATCH($A32,'Point requirements'!$A$7:$A$34,0)),"Aligned","Mismatch")))</x:f>
        <x:v>Not applicable</x:v>
      </x:c>
    </x:row>
    <x:row r="33" ht="42" customHeight="1">
      <x:c r="A33" s="27" t="str">
        <x:v>P27</x:v>
      </x:c>
      <x:c r="B33" s="21" t="str">
        <x:f>IF(COUNTIFS('Point requirements'!$A$7:$A$34,$A33)&lt;&gt;1,"Source missing",INDEX('Point requirements'!$B$7:$B$34,MATCH($A33,'Point requirements'!$A$7:$A$34,0)))</x:f>
        <x:v>Humidification enable command</x:v>
      </x:c>
      <x:c r="C33" s="21" t="str">
        <x:f>IF(OR($A33="",COUNTIFS('Point requirements'!$A$7:$A$34,$A33)&lt;&gt;1,COUNTIFS('Config records'!$A$7:$A$62,"Baseline:"&amp;$A33)&lt;&gt;1,COUNTIFS($A$7:$A$34,$A33)&lt;&gt;1),"Source missing",IF(OR(INDEX('Point requirements'!$C$7:$C$34,MATCH($A33,'Point requirements'!$A$7:$A$34,0))="",INDEX('Point requirements'!$O$7:$O$34,MATCH($A33,'Point requirements'!$A$7:$A$34,0))="",INDEX('Config records'!$D$7:$D$62,MATCH("Baseline:"&amp;$A33,'Config records'!$A$7:$A$62,0))="",INDEX('Config records'!$N$7:$N$62,MATCH("Baseline:"&amp;$A33,'Config records'!$A$7:$A$62,0))=""),"Source missing",IF(AND(INDEX('Config records'!$D$7:$D$62,MATCH("Baseline:"&amp;$A33,'Config records'!$A$7:$A$62,0))=INDEX('Point requirements'!$C$7:$C$34,MATCH($A33,'Point requirements'!$A$7:$A$34,0)),INDEX('Config records'!$N$7:$N$62,MATCH("Baseline:"&amp;$A33,'Config records'!$A$7:$A$62,0))=INDEX('Point requirements'!$O$7:$O$34,MATCH($A33,'Point requirements'!$A$7:$A$34,0))),"Aligned","Mismatch")))</x:f>
        <x:v>Aligned</x:v>
      </x:c>
      <x:c r="D33" s="21" t="str">
        <x:f>IF(C33="Source missing","Source missing",IF(AND(INDEX('Point requirements'!$D$7:$D$34,MATCH($A33,'Point requirements'!$A$7:$A$34,0))&lt;&gt;"Yes",INDEX('Point requirements'!$D$7:$D$34,MATCH($A33,'Point requirements'!$A$7:$A$34,0))&lt;&gt;"No"),"Source missing",IF(INDEX('Point requirements'!$D$7:$D$34,MATCH($A33,'Point requirements'!$A$7:$A$34,0))="No","Not required",IF(INDEX('Config records'!$E$7:$E$62,MATCH("Baseline:"&amp;$A33,'Config records'!$A$7:$A$62,0))="Yes","Aligned","Missing display"))))</x:f>
        <x:v>Aligned</x:v>
      </x:c>
      <x:c r="E33" s="21" t="str">
        <x:f>IF(C33="Source missing","Source missing",IF(D33="Not required","Not applicable",IF(D33="Missing display","Not assessed",IF(INDEX('Config records'!$F$7:$F$62,MATCH("Baseline:"&amp;$A33,'Config records'!$A$7:$A$62,0))=INDEX('Point requirements'!$C$7:$C$34,MATCH($A33,'Point requirements'!$A$7:$A$34,0)),"Aligned","Mismatch"))))</x:f>
        <x:v>Aligned</x:v>
      </x:c>
      <x:c r="F33" s="21" t="str">
        <x:f>IF(C33="Source missing","Source missing",IF(D33="Not required","Not applicable",IF(D33="Missing display","Not assessed",IF(INDEX('Config records'!$G$7:$G$62,MATCH("Baseline:"&amp;$A33,'Config records'!$A$7:$A$62,0))=INDEX('Point requirements'!$E$7:$E$34,MATCH($A33,'Point requirements'!$A$7:$A$34,0)),"Aligned","Mismatch"))))</x:f>
        <x:v>Aligned</x:v>
      </x:c>
      <x:c r="G33" s="21" t="str">
        <x:f>IF(C33="Source missing","Source missing",IF(D33="Not required","Not applicable",IF(D33="Missing display","Not assessed",IF(INDEX('Config records'!$H$7:$H$62,MATCH("Baseline:"&amp;$A33,'Config records'!$A$7:$A$62,0))=INDEX('Point requirements'!$F$7:$F$34,MATCH($A33,'Point requirements'!$A$7:$A$34,0)),"Aligned","Mismatch"))))</x:f>
        <x:v>Aligned</x:v>
      </x:c>
      <x:c r="H33" s="21" t="str">
        <x:f>IF(C33="Source missing","Source missing",IF(D33="Not required","Not applicable",IF(D33="Missing display","Not assessed",IF(INDEX('Config records'!$I$7:$I$62,MATCH("Baseline:"&amp;$A33,'Config records'!$A$7:$A$62,0))=INDEX('Point requirements'!$G$7:$G$34,MATCH($A33,'Point requirements'!$A$7:$A$34,0)),"Aligned","Mismatch"))))</x:f>
        <x:v>Aligned</x:v>
      </x:c>
      <x:c r="I33" s="21" t="str">
        <x:f>IF(C33="Source missing","Source missing",IF(D33="Not required","Not applicable",IF(D33="Missing display","Not assessed",IF(INDEX('Config records'!$J$7:$J$62,MATCH("Baseline:"&amp;$A33,'Config records'!$A$7:$A$62,0))=INDEX('Point requirements'!$H$7:$H$34,MATCH($A33,'Point requirements'!$A$7:$A$34,0)),"Aligned","Mismatch"))))</x:f>
        <x:v>Aligned</x:v>
      </x:c>
      <x:c r="J33" s="21" t="str">
        <x:f>IF(C33="Source missing","Source missing",IF(INDEX('Point requirements'!$I$7:$I$34,MATCH($A33,'Point requirements'!$A$7:$A$34,0))="Not specified","Not applicable",IF(AND(ISNUMBER(INDEX('Point requirements'!$I$7:$I$34,MATCH($A33,'Point requirements'!$A$7:$A$34,0))),ISNUMBER(INDEX('Config records'!$K$7:$K$62,MATCH("Baseline:"&amp;$A33,'Config records'!$A$7:$A$62,0)))),IF(INDEX('Config records'!$K$7:$K$62,MATCH("Baseline:"&amp;$A33,'Config records'!$A$7:$A$62,0))=INDEX('Point requirements'!$I$7:$I$34,MATCH($A33,'Point requirements'!$A$7:$A$34,0)),"Aligned","Mismatch"),"Not recorded")))</x:f>
        <x:v>Not applicable</x:v>
      </x:c>
      <x:c r="K33" s="21" t="str">
        <x:f>IF(OR(COUNTIFS(C33:J33,"Source missing")&gt;0,N33="Source missing"),"Source missing",IF(AND(COUNTIFS(C33:J33,"Aligned")+COUNTIFS(C33:J33,"Not applicable")+COUNTIFS(C33:J33,"Not required")=8,OR(N33="Aligned",N33="Not applicable")),"Aligned","Follow-up"))</x:f>
        <x:v>Aligned</x:v>
      </x:c>
      <x:c r="L33" s="27" t="str">
        <x:f>IF(COUNTIFS('Point requirements'!$A$7:$A$34,$A33)&lt;&gt;1,"Source missing",INDEX('Point requirements'!$K$7:$K$34,MATCH($A33,'Point requirements'!$A$7:$A$34,0)))</x:f>
        <x:v>None</x:v>
      </x:c>
      <x:c r="M33" s="21" t="str">
        <x:f>IF(AND(K33="Aligned",L33="None"),"Aligned","Follow-up")</x:f>
        <x:v>Aligned</x:v>
      </x:c>
      <x:c r="N33" s="21" t="str">
        <x:f>IF(C33="Source missing","Source missing",IF(INDEX('Point requirements'!$N$7:$N$34,MATCH($A33,'Point requirements'!$A$7:$A$34,0))="Not required","Not applicable",IF(INDEX('Config records'!$M$7:$M$62,MATCH("Baseline:"&amp;$A33,'Config records'!$A$7:$A$62,0))=INDEX('Point requirements'!$N$7:$N$34,MATCH($A33,'Point requirements'!$A$7:$A$34,0)),"Aligned","Mismatch")))</x:f>
        <x:v>Not applicable</x:v>
      </x:c>
    </x:row>
    <x:row r="34" ht="42" customHeight="1">
      <x:c r="A34" s="28" t="str">
        <x:v>P28</x:v>
      </x:c>
      <x:c r="B34" s="24" t="str">
        <x:f>IF(COUNTIFS('Point requirements'!$A$7:$A$34,$A34)&lt;&gt;1,"Source missing",INDEX('Point requirements'!$B$7:$B$34,MATCH($A34,'Point requirements'!$A$7:$A$34,0)))</x:f>
        <x:v>Humidifier run status</x:v>
      </x:c>
      <x:c r="C34" s="24" t="str">
        <x:f>IF(OR($A34="",COUNTIFS('Point requirements'!$A$7:$A$34,$A34)&lt;&gt;1,COUNTIFS('Config records'!$A$7:$A$62,"Baseline:"&amp;$A34)&lt;&gt;1,COUNTIFS($A$7:$A$34,$A34)&lt;&gt;1),"Source missing",IF(OR(INDEX('Point requirements'!$C$7:$C$34,MATCH($A34,'Point requirements'!$A$7:$A$34,0))="",INDEX('Point requirements'!$O$7:$O$34,MATCH($A34,'Point requirements'!$A$7:$A$34,0))="",INDEX('Config records'!$D$7:$D$62,MATCH("Baseline:"&amp;$A34,'Config records'!$A$7:$A$62,0))="",INDEX('Config records'!$N$7:$N$62,MATCH("Baseline:"&amp;$A34,'Config records'!$A$7:$A$62,0))=""),"Source missing",IF(AND(INDEX('Config records'!$D$7:$D$62,MATCH("Baseline:"&amp;$A34,'Config records'!$A$7:$A$62,0))=INDEX('Point requirements'!$C$7:$C$34,MATCH($A34,'Point requirements'!$A$7:$A$34,0)),INDEX('Config records'!$N$7:$N$62,MATCH("Baseline:"&amp;$A34,'Config records'!$A$7:$A$62,0))=INDEX('Point requirements'!$O$7:$O$34,MATCH($A34,'Point requirements'!$A$7:$A$34,0))),"Aligned","Mismatch")))</x:f>
        <x:v>Aligned</x:v>
      </x:c>
      <x:c r="D34" s="24" t="str">
        <x:f>IF(C34="Source missing","Source missing",IF(AND(INDEX('Point requirements'!$D$7:$D$34,MATCH($A34,'Point requirements'!$A$7:$A$34,0))&lt;&gt;"Yes",INDEX('Point requirements'!$D$7:$D$34,MATCH($A34,'Point requirements'!$A$7:$A$34,0))&lt;&gt;"No"),"Source missing",IF(INDEX('Point requirements'!$D$7:$D$34,MATCH($A34,'Point requirements'!$A$7:$A$34,0))="No","Not required",IF(INDEX('Config records'!$E$7:$E$62,MATCH("Baseline:"&amp;$A34,'Config records'!$A$7:$A$62,0))="Yes","Aligned","Missing display"))))</x:f>
        <x:v>Aligned</x:v>
      </x:c>
      <x:c r="E34" s="24" t="str">
        <x:f>IF(C34="Source missing","Source missing",IF(D34="Not required","Not applicable",IF(D34="Missing display","Not assessed",IF(INDEX('Config records'!$F$7:$F$62,MATCH("Baseline:"&amp;$A34,'Config records'!$A$7:$A$62,0))=INDEX('Point requirements'!$C$7:$C$34,MATCH($A34,'Point requirements'!$A$7:$A$34,0)),"Aligned","Mismatch"))))</x:f>
        <x:v>Aligned</x:v>
      </x:c>
      <x:c r="F34" s="24" t="str">
        <x:f>IF(C34="Source missing","Source missing",IF(D34="Not required","Not applicable",IF(D34="Missing display","Not assessed",IF(INDEX('Config records'!$G$7:$G$62,MATCH("Baseline:"&amp;$A34,'Config records'!$A$7:$A$62,0))=INDEX('Point requirements'!$E$7:$E$34,MATCH($A34,'Point requirements'!$A$7:$A$34,0)),"Aligned","Mismatch"))))</x:f>
        <x:v>Aligned</x:v>
      </x:c>
      <x:c r="G34" s="24" t="str">
        <x:f>IF(C34="Source missing","Source missing",IF(D34="Not required","Not applicable",IF(D34="Missing display","Not assessed",IF(INDEX('Config records'!$H$7:$H$62,MATCH("Baseline:"&amp;$A34,'Config records'!$A$7:$A$62,0))=INDEX('Point requirements'!$F$7:$F$34,MATCH($A34,'Point requirements'!$A$7:$A$34,0)),"Aligned","Mismatch"))))</x:f>
        <x:v>Aligned</x:v>
      </x:c>
      <x:c r="H34" s="24" t="str">
        <x:f>IF(C34="Source missing","Source missing",IF(D34="Not required","Not applicable",IF(D34="Missing display","Not assessed",IF(INDEX('Config records'!$I$7:$I$62,MATCH("Baseline:"&amp;$A34,'Config records'!$A$7:$A$62,0))=INDEX('Point requirements'!$G$7:$G$34,MATCH($A34,'Point requirements'!$A$7:$A$34,0)),"Aligned","Mismatch"))))</x:f>
        <x:v>Aligned</x:v>
      </x:c>
      <x:c r="I34" s="24" t="str">
        <x:f>IF(C34="Source missing","Source missing",IF(D34="Not required","Not applicable",IF(D34="Missing display","Not assessed",IF(INDEX('Config records'!$J$7:$J$62,MATCH("Baseline:"&amp;$A34,'Config records'!$A$7:$A$62,0))=INDEX('Point requirements'!$H$7:$H$34,MATCH($A34,'Point requirements'!$A$7:$A$34,0)),"Aligned","Mismatch"))))</x:f>
        <x:v>Aligned</x:v>
      </x:c>
      <x:c r="J34" s="24" t="str">
        <x:f>IF(C34="Source missing","Source missing",IF(INDEX('Point requirements'!$I$7:$I$34,MATCH($A34,'Point requirements'!$A$7:$A$34,0))="Not specified","Not applicable",IF(AND(ISNUMBER(INDEX('Point requirements'!$I$7:$I$34,MATCH($A34,'Point requirements'!$A$7:$A$34,0))),ISNUMBER(INDEX('Config records'!$K$7:$K$62,MATCH("Baseline:"&amp;$A34,'Config records'!$A$7:$A$62,0)))),IF(INDEX('Config records'!$K$7:$K$62,MATCH("Baseline:"&amp;$A34,'Config records'!$A$7:$A$62,0))=INDEX('Point requirements'!$I$7:$I$34,MATCH($A34,'Point requirements'!$A$7:$A$34,0)),"Aligned","Mismatch"),"Not recorded")))</x:f>
        <x:v>Not applicable</x:v>
      </x:c>
      <x:c r="K34" s="24" t="str">
        <x:f>IF(OR(COUNTIFS(C34:J34,"Source missing")&gt;0,N34="Source missing"),"Source missing",IF(AND(COUNTIFS(C34:J34,"Aligned")+COUNTIFS(C34:J34,"Not applicable")+COUNTIFS(C34:J34,"Not required")=8,OR(N34="Aligned",N34="Not applicable")),"Aligned","Follow-up"))</x:f>
        <x:v>Aligned</x:v>
      </x:c>
      <x:c r="L34" s="28" t="str">
        <x:f>IF(COUNTIFS('Point requirements'!$A$7:$A$34,$A34)&lt;&gt;1,"Source missing",INDEX('Point requirements'!$K$7:$K$34,MATCH($A34,'Point requirements'!$A$7:$A$34,0)))</x:f>
        <x:v>None</x:v>
      </x:c>
      <x:c r="M34" s="24" t="str">
        <x:f>IF(AND(K34="Aligned",L34="None"),"Aligned","Follow-up")</x:f>
        <x:v>Aligned</x:v>
      </x:c>
      <x:c r="N34" s="24" t="str">
        <x:f>IF(C34="Source missing","Source missing",IF(INDEX('Point requirements'!$N$7:$N$34,MATCH($A34,'Point requirements'!$A$7:$A$34,0))="Not required","Not applicable",IF(INDEX('Config records'!$M$7:$M$62,MATCH("Baseline:"&amp;$A34,'Config records'!$A$7:$A$62,0))=INDEX('Point requirements'!$N$7:$N$34,MATCH($A34,'Point requirements'!$A$7:$A$34,0)),"Aligned","Mismatch")))</x:f>
        <x:v>Not applicable</x:v>
      </x:c>
    </x:row>
    <x:row r="35" ht="25" customHeight="1">
      <x:c r="A35" s="2"/>
      <x:c r="B35" s="2"/>
      <x:c r="C35" s="2"/>
      <x:c r="D35" s="2"/>
      <x:c r="E35" s="2"/>
      <x:c r="F35" s="2"/>
      <x:c r="G35" s="2"/>
      <x:c r="H35" s="2"/>
      <x:c r="I35" s="2"/>
      <x:c r="J35" s="2"/>
      <x:c r="K35" s="2"/>
      <x:c r="L35" s="2"/>
      <x:c r="M35" s="2"/>
      <x:c r="N35" s="2"/>
    </x:row>
    <x:row r="36" ht="25" customHeight="1">
      <x:c r="A36" s="2"/>
      <x:c r="B36" s="2"/>
      <x:c r="C36" s="2"/>
      <x:c r="D36" s="2"/>
      <x:c r="E36" s="2"/>
      <x:c r="F36" s="2"/>
      <x:c r="G36" s="2"/>
      <x:c r="H36" s="2"/>
      <x:c r="I36" s="2"/>
      <x:c r="J36" s="2"/>
      <x:c r="K36" s="2"/>
      <x:c r="L36" s="2"/>
      <x:c r="M36" s="2"/>
      <x:c r="N36" s="2"/>
    </x:row>
    <x:row r="37" ht="30" customHeight="1">
      <x:c r="A37" s="30" t="str">
        <x:v>Final record recheck</x:v>
      </x:c>
      <x:c r="B37" s="30" t="str">
        <x:v>Final record recheck</x:v>
      </x:c>
      <x:c r="C37" s="30" t="str">
        <x:v>Final record recheck</x:v>
      </x:c>
      <x:c r="D37" s="30" t="str">
        <x:v>Final record recheck</x:v>
      </x:c>
      <x:c r="E37" s="30" t="str">
        <x:v>Final record recheck</x:v>
      </x:c>
      <x:c r="F37" s="30" t="str">
        <x:v>Final record recheck</x:v>
      </x:c>
      <x:c r="G37" s="30" t="str">
        <x:v>Final record recheck</x:v>
      </x:c>
      <x:c r="H37" s="30" t="str">
        <x:v>Final record recheck</x:v>
      </x:c>
      <x:c r="I37" s="30" t="str">
        <x:v>Final record recheck</x:v>
      </x:c>
      <x:c r="J37" s="30" t="str">
        <x:v>Final record recheck</x:v>
      </x:c>
      <x:c r="K37" s="30" t="str">
        <x:v>Final record recheck</x:v>
      </x:c>
      <x:c r="L37" s="30" t="str">
        <x:v>Final record recheck</x:v>
      </x:c>
      <x:c r="M37" s="30" t="str">
        <x:v>Final record recheck</x:v>
      </x:c>
      <x:c r="N37" s="30" t="str">
        <x:v>Final record recheck</x:v>
      </x:c>
    </x:row>
    <x:row r="38" ht="25" customHeight="1">
      <x:c r="A38" s="2"/>
      <x:c r="B38" s="2"/>
      <x:c r="C38" s="2"/>
      <x:c r="D38" s="2"/>
      <x:c r="E38" s="2"/>
      <x:c r="F38" s="2"/>
      <x:c r="G38" s="2"/>
      <x:c r="H38" s="2"/>
      <x:c r="I38" s="2"/>
      <x:c r="J38" s="2"/>
      <x:c r="K38" s="2"/>
      <x:c r="L38" s="2"/>
      <x:c r="M38" s="2"/>
      <x:c r="N38" s="2"/>
    </x:row>
    <x:row r="39" ht="44" customHeight="1">
      <x:c r="A39" s="16" t="str">
        <x:v>Point ID</x:v>
      </x:c>
      <x:c r="B39" s="17" t="str">
        <x:v>Point name</x:v>
      </x:c>
      <x:c r="C39" s="17" t="str">
        <x:v>Registration and type</x:v>
      </x:c>
      <x:c r="D39" s="17" t="str">
        <x:v>Display</x:v>
      </x:c>
      <x:c r="E39" s="17" t="str">
        <x:v>Graphic binding</x:v>
      </x:c>
      <x:c r="F39" s="17" t="str">
        <x:v>Location</x:v>
      </x:c>
      <x:c r="G39" s="17" t="str">
        <x:v>Access</x:v>
      </x:c>
      <x:c r="H39" s="17" t="str">
        <x:v>Unit</x:v>
      </x:c>
      <x:c r="I39" s="17" t="str">
        <x:v>State labels</x:v>
      </x:c>
      <x:c r="J39" s="17" t="str">
        <x:v>Selected numeric value</x:v>
      </x:c>
      <x:c r="K39" s="17" t="str">
        <x:v>Technical comparison</x:v>
      </x:c>
      <x:c r="L39" s="17" t="str">
        <x:v>Finding</x:v>
      </x:c>
      <x:c r="M39" s="17" t="str">
        <x:v>Review outcome</x:v>
      </x:c>
      <x:c r="N39" s="18" t="str">
        <x:v>Trend source</x:v>
      </x:c>
    </x:row>
    <x:row r="40" ht="42" customHeight="1">
      <x:c r="A40" s="27" t="str">
        <x:v>P01</x:v>
      </x:c>
      <x:c r="B40" s="21" t="str">
        <x:f>IF(COUNTIFS('Point requirements'!$A$7:$A$34,$A40)&lt;&gt;1,"Source missing",INDEX('Point requirements'!$B$7:$B$34,MATCH($A40,'Point requirements'!$A$7:$A$34,0)))</x:f>
        <x:v>AHU start/stop command</x:v>
      </x:c>
      <x:c r="C40" s="21" t="str">
        <x:f>IF(OR($A40="",COUNTIFS('Point requirements'!$A$7:$A$34,$A40)&lt;&gt;1,COUNTIFS('Config records'!$A$7:$A$62,"Recheck:"&amp;$A40)&lt;&gt;1,COUNTIFS($A$40:$A$67,$A40)&lt;&gt;1),"Source missing",IF(OR(INDEX('Point requirements'!$C$7:$C$34,MATCH($A40,'Point requirements'!$A$7:$A$34,0))="",INDEX('Point requirements'!$O$7:$O$34,MATCH($A40,'Point requirements'!$A$7:$A$34,0))="",INDEX('Config records'!$D$7:$D$62,MATCH("Recheck:"&amp;$A40,'Config records'!$A$7:$A$62,0))="",INDEX('Config records'!$N$7:$N$62,MATCH("Recheck:"&amp;$A40,'Config records'!$A$7:$A$62,0))=""),"Source missing",IF(AND(INDEX('Config records'!$D$7:$D$62,MATCH("Recheck:"&amp;$A40,'Config records'!$A$7:$A$62,0))=INDEX('Point requirements'!$C$7:$C$34,MATCH($A40,'Point requirements'!$A$7:$A$34,0)),INDEX('Config records'!$N$7:$N$62,MATCH("Recheck:"&amp;$A40,'Config records'!$A$7:$A$62,0))=INDEX('Point requirements'!$O$7:$O$34,MATCH($A40,'Point requirements'!$A$7:$A$34,0))),"Aligned","Mismatch")))</x:f>
        <x:v>Aligned</x:v>
      </x:c>
      <x:c r="D40" s="21" t="str">
        <x:f>IF(C40="Source missing","Source missing",IF(AND(INDEX('Point requirements'!$D$7:$D$34,MATCH($A40,'Point requirements'!$A$7:$A$34,0))&lt;&gt;"Yes",INDEX('Point requirements'!$D$7:$D$34,MATCH($A40,'Point requirements'!$A$7:$A$34,0))&lt;&gt;"No"),"Source missing",IF(INDEX('Point requirements'!$D$7:$D$34,MATCH($A40,'Point requirements'!$A$7:$A$34,0))="No","Not required",IF(INDEX('Config records'!$E$7:$E$62,MATCH("Recheck:"&amp;$A40,'Config records'!$A$7:$A$62,0))="Yes","Aligned","Missing display"))))</x:f>
        <x:v>Aligned</x:v>
      </x:c>
      <x:c r="E40" s="21" t="str">
        <x:f>IF(C40="Source missing","Source missing",IF(D40="Not required","Not applicable",IF(D40="Missing display","Not assessed",IF(INDEX('Config records'!$F$7:$F$62,MATCH("Recheck:"&amp;$A40,'Config records'!$A$7:$A$62,0))=INDEX('Point requirements'!$C$7:$C$34,MATCH($A40,'Point requirements'!$A$7:$A$34,0)),"Aligned","Mismatch"))))</x:f>
        <x:v>Aligned</x:v>
      </x:c>
      <x:c r="F40" s="21" t="str">
        <x:f>IF(C40="Source missing","Source missing",IF(D40="Not required","Not applicable",IF(D40="Missing display","Not assessed",IF(INDEX('Config records'!$G$7:$G$62,MATCH("Recheck:"&amp;$A40,'Config records'!$A$7:$A$62,0))=INDEX('Point requirements'!$E$7:$E$34,MATCH($A40,'Point requirements'!$A$7:$A$34,0)),"Aligned","Mismatch"))))</x:f>
        <x:v>Aligned</x:v>
      </x:c>
      <x:c r="G40" s="21" t="str">
        <x:f>IF(C40="Source missing","Source missing",IF(D40="Not required","Not applicable",IF(D40="Missing display","Not assessed",IF(INDEX('Config records'!$H$7:$H$62,MATCH("Recheck:"&amp;$A40,'Config records'!$A$7:$A$62,0))=INDEX('Point requirements'!$F$7:$F$34,MATCH($A40,'Point requirements'!$A$7:$A$34,0)),"Aligned","Mismatch"))))</x:f>
        <x:v>Aligned</x:v>
      </x:c>
      <x:c r="H40" s="21" t="str">
        <x:f>IF(C40="Source missing","Source missing",IF(D40="Not required","Not applicable",IF(D40="Missing display","Not assessed",IF(INDEX('Config records'!$I$7:$I$62,MATCH("Recheck:"&amp;$A40,'Config records'!$A$7:$A$62,0))=INDEX('Point requirements'!$G$7:$G$34,MATCH($A40,'Point requirements'!$A$7:$A$34,0)),"Aligned","Mismatch"))))</x:f>
        <x:v>Aligned</x:v>
      </x:c>
      <x:c r="I40" s="21" t="str">
        <x:f>IF(C40="Source missing","Source missing",IF(D40="Not required","Not applicable",IF(D40="Missing display","Not assessed",IF(INDEX('Config records'!$J$7:$J$62,MATCH("Recheck:"&amp;$A40,'Config records'!$A$7:$A$62,0))=INDEX('Point requirements'!$H$7:$H$34,MATCH($A40,'Point requirements'!$A$7:$A$34,0)),"Aligned","Mismatch"))))</x:f>
        <x:v>Aligned</x:v>
      </x:c>
      <x:c r="J40" s="21" t="str">
        <x:f>IF(C40="Source missing","Source missing",IF(INDEX('Point requirements'!$J$7:$J$34,MATCH($A40,'Point requirements'!$A$7:$A$34,0))="Not specified","Not applicable",IF(AND(ISNUMBER(INDEX('Point requirements'!$J$7:$J$34,MATCH($A40,'Point requirements'!$A$7:$A$34,0))),ISNUMBER(INDEX('Config records'!$K$7:$K$62,MATCH("Recheck:"&amp;$A40,'Config records'!$A$7:$A$62,0)))),IF(INDEX('Config records'!$K$7:$K$62,MATCH("Recheck:"&amp;$A40,'Config records'!$A$7:$A$62,0))=INDEX('Point requirements'!$J$7:$J$34,MATCH($A40,'Point requirements'!$A$7:$A$34,0)),"Aligned","Mismatch"),"Not recorded")))</x:f>
        <x:v>Not applicable</x:v>
      </x:c>
      <x:c r="K40" s="21" t="str">
        <x:f>IF(OR(COUNTIFS(C40:J40,"Source missing")&gt;0,N40="Source missing"),"Source missing",IF(AND(COUNTIFS(C40:J40,"Aligned")+COUNTIFS(C40:J40,"Not applicable")+COUNTIFS(C40:J40,"Not required")=8,OR(N40="Aligned",N40="Not applicable")),"Aligned","Follow-up"))</x:f>
        <x:v>Aligned</x:v>
      </x:c>
      <x:c r="L40" s="27" t="str">
        <x:f>IF(COUNTIFS('Point requirements'!$A$7:$A$34,$A40)&lt;&gt;1,"Source missing",INDEX('Point requirements'!$K$7:$K$34,MATCH($A40,'Point requirements'!$A$7:$A$34,0)))</x:f>
        <x:v>None</x:v>
      </x:c>
      <x:c r="M40" s="21" t="str">
        <x:f>IF(K40&lt;&gt;"Aligned","Review required",IF(INDEX('Point requirements'!$L$7:$L$34,MATCH($A40,'Point requirements'!$A$7:$A$34,0))&lt;&gt;"Confirmed","Review required",IF(L40="None","Reconciled",IF(COUNTIFS(Findings!$A$15:$A$18,L40)&lt;&gt;1,"Source missing",IF(INDEX(Findings!$F$15:$F$18,MATCH(L40,Findings!$A$15:$A$18,0))="Reconciled","Reconciled","Review required")))))</x:f>
        <x:v>Reconciled</x:v>
      </x:c>
      <x:c r="N40" s="21" t="str">
        <x:f>IF(C40="Source missing","Source missing",IF(INDEX('Point requirements'!$N$7:$N$34,MATCH($A40,'Point requirements'!$A$7:$A$34,0))="Not required","Not applicable",IF(INDEX('Config records'!$M$7:$M$62,MATCH("Recheck:"&amp;$A40,'Config records'!$A$7:$A$62,0))=INDEX('Point requirements'!$N$7:$N$34,MATCH($A40,'Point requirements'!$A$7:$A$34,0)),"Aligned","Mismatch")))</x:f>
        <x:v>Not applicable</x:v>
      </x:c>
    </x:row>
    <x:row r="41" ht="42" customHeight="1">
      <x:c r="A41" s="28" t="str">
        <x:v>P02</x:v>
      </x:c>
      <x:c r="B41" s="24" t="str">
        <x:f>IF(COUNTIFS('Point requirements'!$A$7:$A$34,$A41)&lt;&gt;1,"Source missing",INDEX('Point requirements'!$B$7:$B$34,MATCH($A41,'Point requirements'!$A$7:$A$34,0)))</x:f>
        <x:v>Supply-fan run status</x:v>
      </x:c>
      <x:c r="C41" s="24" t="str">
        <x:f>IF(OR($A41="",COUNTIFS('Point requirements'!$A$7:$A$34,$A41)&lt;&gt;1,COUNTIFS('Config records'!$A$7:$A$62,"Recheck:"&amp;$A41)&lt;&gt;1,COUNTIFS($A$40:$A$67,$A41)&lt;&gt;1),"Source missing",IF(OR(INDEX('Point requirements'!$C$7:$C$34,MATCH($A41,'Point requirements'!$A$7:$A$34,0))="",INDEX('Point requirements'!$O$7:$O$34,MATCH($A41,'Point requirements'!$A$7:$A$34,0))="",INDEX('Config records'!$D$7:$D$62,MATCH("Recheck:"&amp;$A41,'Config records'!$A$7:$A$62,0))="",INDEX('Config records'!$N$7:$N$62,MATCH("Recheck:"&amp;$A41,'Config records'!$A$7:$A$62,0))=""),"Source missing",IF(AND(INDEX('Config records'!$D$7:$D$62,MATCH("Recheck:"&amp;$A41,'Config records'!$A$7:$A$62,0))=INDEX('Point requirements'!$C$7:$C$34,MATCH($A41,'Point requirements'!$A$7:$A$34,0)),INDEX('Config records'!$N$7:$N$62,MATCH("Recheck:"&amp;$A41,'Config records'!$A$7:$A$62,0))=INDEX('Point requirements'!$O$7:$O$34,MATCH($A41,'Point requirements'!$A$7:$A$34,0))),"Aligned","Mismatch")))</x:f>
        <x:v>Aligned</x:v>
      </x:c>
      <x:c r="D41" s="24" t="str">
        <x:f>IF(C41="Source missing","Source missing",IF(AND(INDEX('Point requirements'!$D$7:$D$34,MATCH($A41,'Point requirements'!$A$7:$A$34,0))&lt;&gt;"Yes",INDEX('Point requirements'!$D$7:$D$34,MATCH($A41,'Point requirements'!$A$7:$A$34,0))&lt;&gt;"No"),"Source missing",IF(INDEX('Point requirements'!$D$7:$D$34,MATCH($A41,'Point requirements'!$A$7:$A$34,0))="No","Not required",IF(INDEX('Config records'!$E$7:$E$62,MATCH("Recheck:"&amp;$A41,'Config records'!$A$7:$A$62,0))="Yes","Aligned","Missing display"))))</x:f>
        <x:v>Aligned</x:v>
      </x:c>
      <x:c r="E41" s="24" t="str">
        <x:f>IF(C41="Source missing","Source missing",IF(D41="Not required","Not applicable",IF(D41="Missing display","Not assessed",IF(INDEX('Config records'!$F$7:$F$62,MATCH("Recheck:"&amp;$A41,'Config records'!$A$7:$A$62,0))=INDEX('Point requirements'!$C$7:$C$34,MATCH($A41,'Point requirements'!$A$7:$A$34,0)),"Aligned","Mismatch"))))</x:f>
        <x:v>Aligned</x:v>
      </x:c>
      <x:c r="F41" s="24" t="str">
        <x:f>IF(C41="Source missing","Source missing",IF(D41="Not required","Not applicable",IF(D41="Missing display","Not assessed",IF(INDEX('Config records'!$G$7:$G$62,MATCH("Recheck:"&amp;$A41,'Config records'!$A$7:$A$62,0))=INDEX('Point requirements'!$E$7:$E$34,MATCH($A41,'Point requirements'!$A$7:$A$34,0)),"Aligned","Mismatch"))))</x:f>
        <x:v>Aligned</x:v>
      </x:c>
      <x:c r="G41" s="24" t="str">
        <x:f>IF(C41="Source missing","Source missing",IF(D41="Not required","Not applicable",IF(D41="Missing display","Not assessed",IF(INDEX('Config records'!$H$7:$H$62,MATCH("Recheck:"&amp;$A41,'Config records'!$A$7:$A$62,0))=INDEX('Point requirements'!$F$7:$F$34,MATCH($A41,'Point requirements'!$A$7:$A$34,0)),"Aligned","Mismatch"))))</x:f>
        <x:v>Aligned</x:v>
      </x:c>
      <x:c r="H41" s="24" t="str">
        <x:f>IF(C41="Source missing","Source missing",IF(D41="Not required","Not applicable",IF(D41="Missing display","Not assessed",IF(INDEX('Config records'!$I$7:$I$62,MATCH("Recheck:"&amp;$A41,'Config records'!$A$7:$A$62,0))=INDEX('Point requirements'!$G$7:$G$34,MATCH($A41,'Point requirements'!$A$7:$A$34,0)),"Aligned","Mismatch"))))</x:f>
        <x:v>Aligned</x:v>
      </x:c>
      <x:c r="I41" s="24" t="str">
        <x:f>IF(C41="Source missing","Source missing",IF(D41="Not required","Not applicable",IF(D41="Missing display","Not assessed",IF(INDEX('Config records'!$J$7:$J$62,MATCH("Recheck:"&amp;$A41,'Config records'!$A$7:$A$62,0))=INDEX('Point requirements'!$H$7:$H$34,MATCH($A41,'Point requirements'!$A$7:$A$34,0)),"Aligned","Mismatch"))))</x:f>
        <x:v>Aligned</x:v>
      </x:c>
      <x:c r="J41" s="24" t="str">
        <x:f>IF(C41="Source missing","Source missing",IF(INDEX('Point requirements'!$J$7:$J$34,MATCH($A41,'Point requirements'!$A$7:$A$34,0))="Not specified","Not applicable",IF(AND(ISNUMBER(INDEX('Point requirements'!$J$7:$J$34,MATCH($A41,'Point requirements'!$A$7:$A$34,0))),ISNUMBER(INDEX('Config records'!$K$7:$K$62,MATCH("Recheck:"&amp;$A41,'Config records'!$A$7:$A$62,0)))),IF(INDEX('Config records'!$K$7:$K$62,MATCH("Recheck:"&amp;$A41,'Config records'!$A$7:$A$62,0))=INDEX('Point requirements'!$J$7:$J$34,MATCH($A41,'Point requirements'!$A$7:$A$34,0)),"Aligned","Mismatch"),"Not recorded")))</x:f>
        <x:v>Not applicable</x:v>
      </x:c>
      <x:c r="K41" s="24" t="str">
        <x:f>IF(OR(COUNTIFS(C41:J41,"Source missing")&gt;0,N41="Source missing"),"Source missing",IF(AND(COUNTIFS(C41:J41,"Aligned")+COUNTIFS(C41:J41,"Not applicable")+COUNTIFS(C41:J41,"Not required")=8,OR(N41="Aligned",N41="Not applicable")),"Aligned","Follow-up"))</x:f>
        <x:v>Aligned</x:v>
      </x:c>
      <x:c r="L41" s="28" t="str">
        <x:f>IF(COUNTIFS('Point requirements'!$A$7:$A$34,$A41)&lt;&gt;1,"Source missing",INDEX('Point requirements'!$K$7:$K$34,MATCH($A41,'Point requirements'!$A$7:$A$34,0)))</x:f>
        <x:v>None</x:v>
      </x:c>
      <x:c r="M41" s="24" t="str">
        <x:f>IF(K41&lt;&gt;"Aligned","Review required",IF(INDEX('Point requirements'!$L$7:$L$34,MATCH($A41,'Point requirements'!$A$7:$A$34,0))&lt;&gt;"Confirmed","Review required",IF(L41="None","Reconciled",IF(COUNTIFS(Findings!$A$15:$A$18,L41)&lt;&gt;1,"Source missing",IF(INDEX(Findings!$F$15:$F$18,MATCH(L41,Findings!$A$15:$A$18,0))="Reconciled","Reconciled","Review required")))))</x:f>
        <x:v>Reconciled</x:v>
      </x:c>
      <x:c r="N41" s="24" t="str">
        <x:f>IF(C41="Source missing","Source missing",IF(INDEX('Point requirements'!$N$7:$N$34,MATCH($A41,'Point requirements'!$A$7:$A$34,0))="Not required","Not applicable",IF(INDEX('Config records'!$M$7:$M$62,MATCH("Recheck:"&amp;$A41,'Config records'!$A$7:$A$62,0))=INDEX('Point requirements'!$N$7:$N$34,MATCH($A41,'Point requirements'!$A$7:$A$34,0)),"Aligned","Mismatch")))</x:f>
        <x:v>Not applicable</x:v>
      </x:c>
    </x:row>
    <x:row r="42" ht="42" customHeight="1">
      <x:c r="A42" s="27" t="str">
        <x:v>P03</x:v>
      </x:c>
      <x:c r="B42" s="21" t="str">
        <x:f>IF(COUNTIFS('Point requirements'!$A$7:$A$34,$A42)&lt;&gt;1,"Source missing",INDEX('Point requirements'!$B$7:$B$34,MATCH($A42,'Point requirements'!$A$7:$A$34,0)))</x:f>
        <x:v>Supply-fan fault alarm</x:v>
      </x:c>
      <x:c r="C42" s="21" t="str">
        <x:f>IF(OR($A42="",COUNTIFS('Point requirements'!$A$7:$A$34,$A42)&lt;&gt;1,COUNTIFS('Config records'!$A$7:$A$62,"Recheck:"&amp;$A42)&lt;&gt;1,COUNTIFS($A$40:$A$67,$A42)&lt;&gt;1),"Source missing",IF(OR(INDEX('Point requirements'!$C$7:$C$34,MATCH($A42,'Point requirements'!$A$7:$A$34,0))="",INDEX('Point requirements'!$O$7:$O$34,MATCH($A42,'Point requirements'!$A$7:$A$34,0))="",INDEX('Config records'!$D$7:$D$62,MATCH("Recheck:"&amp;$A42,'Config records'!$A$7:$A$62,0))="",INDEX('Config records'!$N$7:$N$62,MATCH("Recheck:"&amp;$A42,'Config records'!$A$7:$A$62,0))=""),"Source missing",IF(AND(INDEX('Config records'!$D$7:$D$62,MATCH("Recheck:"&amp;$A42,'Config records'!$A$7:$A$62,0))=INDEX('Point requirements'!$C$7:$C$34,MATCH($A42,'Point requirements'!$A$7:$A$34,0)),INDEX('Config records'!$N$7:$N$62,MATCH("Recheck:"&amp;$A42,'Config records'!$A$7:$A$62,0))=INDEX('Point requirements'!$O$7:$O$34,MATCH($A42,'Point requirements'!$A$7:$A$34,0))),"Aligned","Mismatch")))</x:f>
        <x:v>Aligned</x:v>
      </x:c>
      <x:c r="D42" s="21" t="str">
        <x:f>IF(C42="Source missing","Source missing",IF(AND(INDEX('Point requirements'!$D$7:$D$34,MATCH($A42,'Point requirements'!$A$7:$A$34,0))&lt;&gt;"Yes",INDEX('Point requirements'!$D$7:$D$34,MATCH($A42,'Point requirements'!$A$7:$A$34,0))&lt;&gt;"No"),"Source missing",IF(INDEX('Point requirements'!$D$7:$D$34,MATCH($A42,'Point requirements'!$A$7:$A$34,0))="No","Not required",IF(INDEX('Config records'!$E$7:$E$62,MATCH("Recheck:"&amp;$A42,'Config records'!$A$7:$A$62,0))="Yes","Aligned","Missing display"))))</x:f>
        <x:v>Aligned</x:v>
      </x:c>
      <x:c r="E42" s="21" t="str">
        <x:f>IF(C42="Source missing","Source missing",IF(D42="Not required","Not applicable",IF(D42="Missing display","Not assessed",IF(INDEX('Config records'!$F$7:$F$62,MATCH("Recheck:"&amp;$A42,'Config records'!$A$7:$A$62,0))=INDEX('Point requirements'!$C$7:$C$34,MATCH($A42,'Point requirements'!$A$7:$A$34,0)),"Aligned","Mismatch"))))</x:f>
        <x:v>Aligned</x:v>
      </x:c>
      <x:c r="F42" s="21" t="str">
        <x:f>IF(C42="Source missing","Source missing",IF(D42="Not required","Not applicable",IF(D42="Missing display","Not assessed",IF(INDEX('Config records'!$G$7:$G$62,MATCH("Recheck:"&amp;$A42,'Config records'!$A$7:$A$62,0))=INDEX('Point requirements'!$E$7:$E$34,MATCH($A42,'Point requirements'!$A$7:$A$34,0)),"Aligned","Mismatch"))))</x:f>
        <x:v>Aligned</x:v>
      </x:c>
      <x:c r="G42" s="21" t="str">
        <x:f>IF(C42="Source missing","Source missing",IF(D42="Not required","Not applicable",IF(D42="Missing display","Not assessed",IF(INDEX('Config records'!$H$7:$H$62,MATCH("Recheck:"&amp;$A42,'Config records'!$A$7:$A$62,0))=INDEX('Point requirements'!$F$7:$F$34,MATCH($A42,'Point requirements'!$A$7:$A$34,0)),"Aligned","Mismatch"))))</x:f>
        <x:v>Aligned</x:v>
      </x:c>
      <x:c r="H42" s="21" t="str">
        <x:f>IF(C42="Source missing","Source missing",IF(D42="Not required","Not applicable",IF(D42="Missing display","Not assessed",IF(INDEX('Config records'!$I$7:$I$62,MATCH("Recheck:"&amp;$A42,'Config records'!$A$7:$A$62,0))=INDEX('Point requirements'!$G$7:$G$34,MATCH($A42,'Point requirements'!$A$7:$A$34,0)),"Aligned","Mismatch"))))</x:f>
        <x:v>Aligned</x:v>
      </x:c>
      <x:c r="I42" s="21" t="str">
        <x:f>IF(C42="Source missing","Source missing",IF(D42="Not required","Not applicable",IF(D42="Missing display","Not assessed",IF(INDEX('Config records'!$J$7:$J$62,MATCH("Recheck:"&amp;$A42,'Config records'!$A$7:$A$62,0))=INDEX('Point requirements'!$H$7:$H$34,MATCH($A42,'Point requirements'!$A$7:$A$34,0)),"Aligned","Mismatch"))))</x:f>
        <x:v>Aligned</x:v>
      </x:c>
      <x:c r="J42" s="21" t="str">
        <x:f>IF(C42="Source missing","Source missing",IF(INDEX('Point requirements'!$J$7:$J$34,MATCH($A42,'Point requirements'!$A$7:$A$34,0))="Not specified","Not applicable",IF(AND(ISNUMBER(INDEX('Point requirements'!$J$7:$J$34,MATCH($A42,'Point requirements'!$A$7:$A$34,0))),ISNUMBER(INDEX('Config records'!$K$7:$K$62,MATCH("Recheck:"&amp;$A42,'Config records'!$A$7:$A$62,0)))),IF(INDEX('Config records'!$K$7:$K$62,MATCH("Recheck:"&amp;$A42,'Config records'!$A$7:$A$62,0))=INDEX('Point requirements'!$J$7:$J$34,MATCH($A42,'Point requirements'!$A$7:$A$34,0)),"Aligned","Mismatch"),"Not recorded")))</x:f>
        <x:v>Not applicable</x:v>
      </x:c>
      <x:c r="K42" s="21" t="str">
        <x:f>IF(OR(COUNTIFS(C42:J42,"Source missing")&gt;0,N42="Source missing"),"Source missing",IF(AND(COUNTIFS(C42:J42,"Aligned")+COUNTIFS(C42:J42,"Not applicable")+COUNTIFS(C42:J42,"Not required")=8,OR(N42="Aligned",N42="Not applicable")),"Aligned","Follow-up"))</x:f>
        <x:v>Aligned</x:v>
      </x:c>
      <x:c r="L42" s="27" t="str">
        <x:f>IF(COUNTIFS('Point requirements'!$A$7:$A$34,$A42)&lt;&gt;1,"Source missing",INDEX('Point requirements'!$K$7:$K$34,MATCH($A42,'Point requirements'!$A$7:$A$34,0)))</x:f>
        <x:v>None</x:v>
      </x:c>
      <x:c r="M42" s="21" t="str">
        <x:f>IF(K42&lt;&gt;"Aligned","Review required",IF(INDEX('Point requirements'!$L$7:$L$34,MATCH($A42,'Point requirements'!$A$7:$A$34,0))&lt;&gt;"Confirmed","Review required",IF(L42="None","Reconciled",IF(COUNTIFS(Findings!$A$15:$A$18,L42)&lt;&gt;1,"Source missing",IF(INDEX(Findings!$F$15:$F$18,MATCH(L42,Findings!$A$15:$A$18,0))="Reconciled","Reconciled","Review required")))))</x:f>
        <x:v>Reconciled</x:v>
      </x:c>
      <x:c r="N42" s="21" t="str">
        <x:f>IF(C42="Source missing","Source missing",IF(INDEX('Point requirements'!$N$7:$N$34,MATCH($A42,'Point requirements'!$A$7:$A$34,0))="Not required","Not applicable",IF(INDEX('Config records'!$M$7:$M$62,MATCH("Recheck:"&amp;$A42,'Config records'!$A$7:$A$62,0))=INDEX('Point requirements'!$N$7:$N$34,MATCH($A42,'Point requirements'!$A$7:$A$34,0)),"Aligned","Mismatch")))</x:f>
        <x:v>Not applicable</x:v>
      </x:c>
    </x:row>
    <x:row r="43" ht="42" customHeight="1">
      <x:c r="A43" s="28" t="str">
        <x:v>P04</x:v>
      </x:c>
      <x:c r="B43" s="24" t="str">
        <x:f>IF(COUNTIFS('Point requirements'!$A$7:$A$34,$A43)&lt;&gt;1,"Source missing",INDEX('Point requirements'!$B$7:$B$34,MATCH($A43,'Point requirements'!$A$7:$A$34,0)))</x:f>
        <x:v>Return-fan run status</x:v>
      </x:c>
      <x:c r="C43" s="24" t="str">
        <x:f>IF(OR($A43="",COUNTIFS('Point requirements'!$A$7:$A$34,$A43)&lt;&gt;1,COUNTIFS('Config records'!$A$7:$A$62,"Recheck:"&amp;$A43)&lt;&gt;1,COUNTIFS($A$40:$A$67,$A43)&lt;&gt;1),"Source missing",IF(OR(INDEX('Point requirements'!$C$7:$C$34,MATCH($A43,'Point requirements'!$A$7:$A$34,0))="",INDEX('Point requirements'!$O$7:$O$34,MATCH($A43,'Point requirements'!$A$7:$A$34,0))="",INDEX('Config records'!$D$7:$D$62,MATCH("Recheck:"&amp;$A43,'Config records'!$A$7:$A$62,0))="",INDEX('Config records'!$N$7:$N$62,MATCH("Recheck:"&amp;$A43,'Config records'!$A$7:$A$62,0))=""),"Source missing",IF(AND(INDEX('Config records'!$D$7:$D$62,MATCH("Recheck:"&amp;$A43,'Config records'!$A$7:$A$62,0))=INDEX('Point requirements'!$C$7:$C$34,MATCH($A43,'Point requirements'!$A$7:$A$34,0)),INDEX('Config records'!$N$7:$N$62,MATCH("Recheck:"&amp;$A43,'Config records'!$A$7:$A$62,0))=INDEX('Point requirements'!$O$7:$O$34,MATCH($A43,'Point requirements'!$A$7:$A$34,0))),"Aligned","Mismatch")))</x:f>
        <x:v>Aligned</x:v>
      </x:c>
      <x:c r="D43" s="24" t="str">
        <x:f>IF(C43="Source missing","Source missing",IF(AND(INDEX('Point requirements'!$D$7:$D$34,MATCH($A43,'Point requirements'!$A$7:$A$34,0))&lt;&gt;"Yes",INDEX('Point requirements'!$D$7:$D$34,MATCH($A43,'Point requirements'!$A$7:$A$34,0))&lt;&gt;"No"),"Source missing",IF(INDEX('Point requirements'!$D$7:$D$34,MATCH($A43,'Point requirements'!$A$7:$A$34,0))="No","Not required",IF(INDEX('Config records'!$E$7:$E$62,MATCH("Recheck:"&amp;$A43,'Config records'!$A$7:$A$62,0))="Yes","Aligned","Missing display"))))</x:f>
        <x:v>Aligned</x:v>
      </x:c>
      <x:c r="E43" s="24" t="str">
        <x:f>IF(C43="Source missing","Source missing",IF(D43="Not required","Not applicable",IF(D43="Missing display","Not assessed",IF(INDEX('Config records'!$F$7:$F$62,MATCH("Recheck:"&amp;$A43,'Config records'!$A$7:$A$62,0))=INDEX('Point requirements'!$C$7:$C$34,MATCH($A43,'Point requirements'!$A$7:$A$34,0)),"Aligned","Mismatch"))))</x:f>
        <x:v>Aligned</x:v>
      </x:c>
      <x:c r="F43" s="24" t="str">
        <x:f>IF(C43="Source missing","Source missing",IF(D43="Not required","Not applicable",IF(D43="Missing display","Not assessed",IF(INDEX('Config records'!$G$7:$G$62,MATCH("Recheck:"&amp;$A43,'Config records'!$A$7:$A$62,0))=INDEX('Point requirements'!$E$7:$E$34,MATCH($A43,'Point requirements'!$A$7:$A$34,0)),"Aligned","Mismatch"))))</x:f>
        <x:v>Aligned</x:v>
      </x:c>
      <x:c r="G43" s="24" t="str">
        <x:f>IF(C43="Source missing","Source missing",IF(D43="Not required","Not applicable",IF(D43="Missing display","Not assessed",IF(INDEX('Config records'!$H$7:$H$62,MATCH("Recheck:"&amp;$A43,'Config records'!$A$7:$A$62,0))=INDEX('Point requirements'!$F$7:$F$34,MATCH($A43,'Point requirements'!$A$7:$A$34,0)),"Aligned","Mismatch"))))</x:f>
        <x:v>Aligned</x:v>
      </x:c>
      <x:c r="H43" s="24" t="str">
        <x:f>IF(C43="Source missing","Source missing",IF(D43="Not required","Not applicable",IF(D43="Missing display","Not assessed",IF(INDEX('Config records'!$I$7:$I$62,MATCH("Recheck:"&amp;$A43,'Config records'!$A$7:$A$62,0))=INDEX('Point requirements'!$G$7:$G$34,MATCH($A43,'Point requirements'!$A$7:$A$34,0)),"Aligned","Mismatch"))))</x:f>
        <x:v>Aligned</x:v>
      </x:c>
      <x:c r="I43" s="24" t="str">
        <x:f>IF(C43="Source missing","Source missing",IF(D43="Not required","Not applicable",IF(D43="Missing display","Not assessed",IF(INDEX('Config records'!$J$7:$J$62,MATCH("Recheck:"&amp;$A43,'Config records'!$A$7:$A$62,0))=INDEX('Point requirements'!$H$7:$H$34,MATCH($A43,'Point requirements'!$A$7:$A$34,0)),"Aligned","Mismatch"))))</x:f>
        <x:v>Aligned</x:v>
      </x:c>
      <x:c r="J43" s="24" t="str">
        <x:f>IF(C43="Source missing","Source missing",IF(INDEX('Point requirements'!$J$7:$J$34,MATCH($A43,'Point requirements'!$A$7:$A$34,0))="Not specified","Not applicable",IF(AND(ISNUMBER(INDEX('Point requirements'!$J$7:$J$34,MATCH($A43,'Point requirements'!$A$7:$A$34,0))),ISNUMBER(INDEX('Config records'!$K$7:$K$62,MATCH("Recheck:"&amp;$A43,'Config records'!$A$7:$A$62,0)))),IF(INDEX('Config records'!$K$7:$K$62,MATCH("Recheck:"&amp;$A43,'Config records'!$A$7:$A$62,0))=INDEX('Point requirements'!$J$7:$J$34,MATCH($A43,'Point requirements'!$A$7:$A$34,0)),"Aligned","Mismatch"),"Not recorded")))</x:f>
        <x:v>Not applicable</x:v>
      </x:c>
      <x:c r="K43" s="24" t="str">
        <x:f>IF(OR(COUNTIFS(C43:J43,"Source missing")&gt;0,N43="Source missing"),"Source missing",IF(AND(COUNTIFS(C43:J43,"Aligned")+COUNTIFS(C43:J43,"Not applicable")+COUNTIFS(C43:J43,"Not required")=8,OR(N43="Aligned",N43="Not applicable")),"Aligned","Follow-up"))</x:f>
        <x:v>Aligned</x:v>
      </x:c>
      <x:c r="L43" s="28" t="str">
        <x:f>IF(COUNTIFS('Point requirements'!$A$7:$A$34,$A43)&lt;&gt;1,"Source missing",INDEX('Point requirements'!$K$7:$K$34,MATCH($A43,'Point requirements'!$A$7:$A$34,0)))</x:f>
        <x:v>None</x:v>
      </x:c>
      <x:c r="M43" s="24" t="str">
        <x:f>IF(K43&lt;&gt;"Aligned","Review required",IF(INDEX('Point requirements'!$L$7:$L$34,MATCH($A43,'Point requirements'!$A$7:$A$34,0))&lt;&gt;"Confirmed","Review required",IF(L43="None","Reconciled",IF(COUNTIFS(Findings!$A$15:$A$18,L43)&lt;&gt;1,"Source missing",IF(INDEX(Findings!$F$15:$F$18,MATCH(L43,Findings!$A$15:$A$18,0))="Reconciled","Reconciled","Review required")))))</x:f>
        <x:v>Reconciled</x:v>
      </x:c>
      <x:c r="N43" s="24" t="str">
        <x:f>IF(C43="Source missing","Source missing",IF(INDEX('Point requirements'!$N$7:$N$34,MATCH($A43,'Point requirements'!$A$7:$A$34,0))="Not required","Not applicable",IF(INDEX('Config records'!$M$7:$M$62,MATCH("Recheck:"&amp;$A43,'Config records'!$A$7:$A$62,0))=INDEX('Point requirements'!$N$7:$N$34,MATCH($A43,'Point requirements'!$A$7:$A$34,0)),"Aligned","Mismatch")))</x:f>
        <x:v>Not applicable</x:v>
      </x:c>
    </x:row>
    <x:row r="44" ht="42" customHeight="1">
      <x:c r="A44" s="27" t="str">
        <x:v>P05</x:v>
      </x:c>
      <x:c r="B44" s="21" t="str">
        <x:f>IF(COUNTIFS('Point requirements'!$A$7:$A$34,$A44)&lt;&gt;1,"Source missing",INDEX('Point requirements'!$B$7:$B$34,MATCH($A44,'Point requirements'!$A$7:$A$34,0)))</x:f>
        <x:v>Return-fan fault alarm</x:v>
      </x:c>
      <x:c r="C44" s="21" t="str">
        <x:f>IF(OR($A44="",COUNTIFS('Point requirements'!$A$7:$A$34,$A44)&lt;&gt;1,COUNTIFS('Config records'!$A$7:$A$62,"Recheck:"&amp;$A44)&lt;&gt;1,COUNTIFS($A$40:$A$67,$A44)&lt;&gt;1),"Source missing",IF(OR(INDEX('Point requirements'!$C$7:$C$34,MATCH($A44,'Point requirements'!$A$7:$A$34,0))="",INDEX('Point requirements'!$O$7:$O$34,MATCH($A44,'Point requirements'!$A$7:$A$34,0))="",INDEX('Config records'!$D$7:$D$62,MATCH("Recheck:"&amp;$A44,'Config records'!$A$7:$A$62,0))="",INDEX('Config records'!$N$7:$N$62,MATCH("Recheck:"&amp;$A44,'Config records'!$A$7:$A$62,0))=""),"Source missing",IF(AND(INDEX('Config records'!$D$7:$D$62,MATCH("Recheck:"&amp;$A44,'Config records'!$A$7:$A$62,0))=INDEX('Point requirements'!$C$7:$C$34,MATCH($A44,'Point requirements'!$A$7:$A$34,0)),INDEX('Config records'!$N$7:$N$62,MATCH("Recheck:"&amp;$A44,'Config records'!$A$7:$A$62,0))=INDEX('Point requirements'!$O$7:$O$34,MATCH($A44,'Point requirements'!$A$7:$A$34,0))),"Aligned","Mismatch")))</x:f>
        <x:v>Aligned</x:v>
      </x:c>
      <x:c r="D44" s="21" t="str">
        <x:f>IF(C44="Source missing","Source missing",IF(AND(INDEX('Point requirements'!$D$7:$D$34,MATCH($A44,'Point requirements'!$A$7:$A$34,0))&lt;&gt;"Yes",INDEX('Point requirements'!$D$7:$D$34,MATCH($A44,'Point requirements'!$A$7:$A$34,0))&lt;&gt;"No"),"Source missing",IF(INDEX('Point requirements'!$D$7:$D$34,MATCH($A44,'Point requirements'!$A$7:$A$34,0))="No","Not required",IF(INDEX('Config records'!$E$7:$E$62,MATCH("Recheck:"&amp;$A44,'Config records'!$A$7:$A$62,0))="Yes","Aligned","Missing display"))))</x:f>
        <x:v>Aligned</x:v>
      </x:c>
      <x:c r="E44" s="21" t="str">
        <x:f>IF(C44="Source missing","Source missing",IF(D44="Not required","Not applicable",IF(D44="Missing display","Not assessed",IF(INDEX('Config records'!$F$7:$F$62,MATCH("Recheck:"&amp;$A44,'Config records'!$A$7:$A$62,0))=INDEX('Point requirements'!$C$7:$C$34,MATCH($A44,'Point requirements'!$A$7:$A$34,0)),"Aligned","Mismatch"))))</x:f>
        <x:v>Aligned</x:v>
      </x:c>
      <x:c r="F44" s="21" t="str">
        <x:f>IF(C44="Source missing","Source missing",IF(D44="Not required","Not applicable",IF(D44="Missing display","Not assessed",IF(INDEX('Config records'!$G$7:$G$62,MATCH("Recheck:"&amp;$A44,'Config records'!$A$7:$A$62,0))=INDEX('Point requirements'!$E$7:$E$34,MATCH($A44,'Point requirements'!$A$7:$A$34,0)),"Aligned","Mismatch"))))</x:f>
        <x:v>Aligned</x:v>
      </x:c>
      <x:c r="G44" s="21" t="str">
        <x:f>IF(C44="Source missing","Source missing",IF(D44="Not required","Not applicable",IF(D44="Missing display","Not assessed",IF(INDEX('Config records'!$H$7:$H$62,MATCH("Recheck:"&amp;$A44,'Config records'!$A$7:$A$62,0))=INDEX('Point requirements'!$F$7:$F$34,MATCH($A44,'Point requirements'!$A$7:$A$34,0)),"Aligned","Mismatch"))))</x:f>
        <x:v>Aligned</x:v>
      </x:c>
      <x:c r="H44" s="21" t="str">
        <x:f>IF(C44="Source missing","Source missing",IF(D44="Not required","Not applicable",IF(D44="Missing display","Not assessed",IF(INDEX('Config records'!$I$7:$I$62,MATCH("Recheck:"&amp;$A44,'Config records'!$A$7:$A$62,0))=INDEX('Point requirements'!$G$7:$G$34,MATCH($A44,'Point requirements'!$A$7:$A$34,0)),"Aligned","Mismatch"))))</x:f>
        <x:v>Aligned</x:v>
      </x:c>
      <x:c r="I44" s="21" t="str">
        <x:f>IF(C44="Source missing","Source missing",IF(D44="Not required","Not applicable",IF(D44="Missing display","Not assessed",IF(INDEX('Config records'!$J$7:$J$62,MATCH("Recheck:"&amp;$A44,'Config records'!$A$7:$A$62,0))=INDEX('Point requirements'!$H$7:$H$34,MATCH($A44,'Point requirements'!$A$7:$A$34,0)),"Aligned","Mismatch"))))</x:f>
        <x:v>Aligned</x:v>
      </x:c>
      <x:c r="J44" s="21" t="str">
        <x:f>IF(C44="Source missing","Source missing",IF(INDEX('Point requirements'!$J$7:$J$34,MATCH($A44,'Point requirements'!$A$7:$A$34,0))="Not specified","Not applicable",IF(AND(ISNUMBER(INDEX('Point requirements'!$J$7:$J$34,MATCH($A44,'Point requirements'!$A$7:$A$34,0))),ISNUMBER(INDEX('Config records'!$K$7:$K$62,MATCH("Recheck:"&amp;$A44,'Config records'!$A$7:$A$62,0)))),IF(INDEX('Config records'!$K$7:$K$62,MATCH("Recheck:"&amp;$A44,'Config records'!$A$7:$A$62,0))=INDEX('Point requirements'!$J$7:$J$34,MATCH($A44,'Point requirements'!$A$7:$A$34,0)),"Aligned","Mismatch"),"Not recorded")))</x:f>
        <x:v>Not applicable</x:v>
      </x:c>
      <x:c r="K44" s="21" t="str">
        <x:f>IF(OR(COUNTIFS(C44:J44,"Source missing")&gt;0,N44="Source missing"),"Source missing",IF(AND(COUNTIFS(C44:J44,"Aligned")+COUNTIFS(C44:J44,"Not applicable")+COUNTIFS(C44:J44,"Not required")=8,OR(N44="Aligned",N44="Not applicable")),"Aligned","Follow-up"))</x:f>
        <x:v>Aligned</x:v>
      </x:c>
      <x:c r="L44" s="27" t="str">
        <x:f>IF(COUNTIFS('Point requirements'!$A$7:$A$34,$A44)&lt;&gt;1,"Source missing",INDEX('Point requirements'!$K$7:$K$34,MATCH($A44,'Point requirements'!$A$7:$A$34,0)))</x:f>
        <x:v>None</x:v>
      </x:c>
      <x:c r="M44" s="21" t="str">
        <x:f>IF(K44&lt;&gt;"Aligned","Review required",IF(INDEX('Point requirements'!$L$7:$L$34,MATCH($A44,'Point requirements'!$A$7:$A$34,0))&lt;&gt;"Confirmed","Review required",IF(L44="None","Reconciled",IF(COUNTIFS(Findings!$A$15:$A$18,L44)&lt;&gt;1,"Source missing",IF(INDEX(Findings!$F$15:$F$18,MATCH(L44,Findings!$A$15:$A$18,0))="Reconciled","Reconciled","Review required")))))</x:f>
        <x:v>Reconciled</x:v>
      </x:c>
      <x:c r="N44" s="21" t="str">
        <x:f>IF(C44="Source missing","Source missing",IF(INDEX('Point requirements'!$N$7:$N$34,MATCH($A44,'Point requirements'!$A$7:$A$34,0))="Not required","Not applicable",IF(INDEX('Config records'!$M$7:$M$62,MATCH("Recheck:"&amp;$A44,'Config records'!$A$7:$A$62,0))=INDEX('Point requirements'!$N$7:$N$34,MATCH($A44,'Point requirements'!$A$7:$A$34,0)),"Aligned","Mismatch")))</x:f>
        <x:v>Not applicable</x:v>
      </x:c>
    </x:row>
    <x:row r="45" ht="42" customHeight="1">
      <x:c r="A45" s="28" t="str">
        <x:v>P06</x:v>
      </x:c>
      <x:c r="B45" s="24" t="str">
        <x:f>IF(COUNTIFS('Point requirements'!$A$7:$A$34,$A45)&lt;&gt;1,"Source missing",INDEX('Point requirements'!$B$7:$B$34,MATCH($A45,'Point requirements'!$A$7:$A$34,0)))</x:f>
        <x:v>Supply-air temperature</x:v>
      </x:c>
      <x:c r="C45" s="24" t="str">
        <x:f>IF(OR($A45="",COUNTIFS('Point requirements'!$A$7:$A$34,$A45)&lt;&gt;1,COUNTIFS('Config records'!$A$7:$A$62,"Recheck:"&amp;$A45)&lt;&gt;1,COUNTIFS($A$40:$A$67,$A45)&lt;&gt;1),"Source missing",IF(OR(INDEX('Point requirements'!$C$7:$C$34,MATCH($A45,'Point requirements'!$A$7:$A$34,0))="",INDEX('Point requirements'!$O$7:$O$34,MATCH($A45,'Point requirements'!$A$7:$A$34,0))="",INDEX('Config records'!$D$7:$D$62,MATCH("Recheck:"&amp;$A45,'Config records'!$A$7:$A$62,0))="",INDEX('Config records'!$N$7:$N$62,MATCH("Recheck:"&amp;$A45,'Config records'!$A$7:$A$62,0))=""),"Source missing",IF(AND(INDEX('Config records'!$D$7:$D$62,MATCH("Recheck:"&amp;$A45,'Config records'!$A$7:$A$62,0))=INDEX('Point requirements'!$C$7:$C$34,MATCH($A45,'Point requirements'!$A$7:$A$34,0)),INDEX('Config records'!$N$7:$N$62,MATCH("Recheck:"&amp;$A45,'Config records'!$A$7:$A$62,0))=INDEX('Point requirements'!$O$7:$O$34,MATCH($A45,'Point requirements'!$A$7:$A$34,0))),"Aligned","Mismatch")))</x:f>
        <x:v>Aligned</x:v>
      </x:c>
      <x:c r="D45" s="24" t="str">
        <x:f>IF(C45="Source missing","Source missing",IF(AND(INDEX('Point requirements'!$D$7:$D$34,MATCH($A45,'Point requirements'!$A$7:$A$34,0))&lt;&gt;"Yes",INDEX('Point requirements'!$D$7:$D$34,MATCH($A45,'Point requirements'!$A$7:$A$34,0))&lt;&gt;"No"),"Source missing",IF(INDEX('Point requirements'!$D$7:$D$34,MATCH($A45,'Point requirements'!$A$7:$A$34,0))="No","Not required",IF(INDEX('Config records'!$E$7:$E$62,MATCH("Recheck:"&amp;$A45,'Config records'!$A$7:$A$62,0))="Yes","Aligned","Missing display"))))</x:f>
        <x:v>Aligned</x:v>
      </x:c>
      <x:c r="E45" s="24" t="str">
        <x:f>IF(C45="Source missing","Source missing",IF(D45="Not required","Not applicable",IF(D45="Missing display","Not assessed",IF(INDEX('Config records'!$F$7:$F$62,MATCH("Recheck:"&amp;$A45,'Config records'!$A$7:$A$62,0))=INDEX('Point requirements'!$C$7:$C$34,MATCH($A45,'Point requirements'!$A$7:$A$34,0)),"Aligned","Mismatch"))))</x:f>
        <x:v>Aligned</x:v>
      </x:c>
      <x:c r="F45" s="24" t="str">
        <x:f>IF(C45="Source missing","Source missing",IF(D45="Not required","Not applicable",IF(D45="Missing display","Not assessed",IF(INDEX('Config records'!$G$7:$G$62,MATCH("Recheck:"&amp;$A45,'Config records'!$A$7:$A$62,0))=INDEX('Point requirements'!$E$7:$E$34,MATCH($A45,'Point requirements'!$A$7:$A$34,0)),"Aligned","Mismatch"))))</x:f>
        <x:v>Aligned</x:v>
      </x:c>
      <x:c r="G45" s="24" t="str">
        <x:f>IF(C45="Source missing","Source missing",IF(D45="Not required","Not applicable",IF(D45="Missing display","Not assessed",IF(INDEX('Config records'!$H$7:$H$62,MATCH("Recheck:"&amp;$A45,'Config records'!$A$7:$A$62,0))=INDEX('Point requirements'!$F$7:$F$34,MATCH($A45,'Point requirements'!$A$7:$A$34,0)),"Aligned","Mismatch"))))</x:f>
        <x:v>Aligned</x:v>
      </x:c>
      <x:c r="H45" s="24" t="str">
        <x:f>IF(C45="Source missing","Source missing",IF(D45="Not required","Not applicable",IF(D45="Missing display","Not assessed",IF(INDEX('Config records'!$I$7:$I$62,MATCH("Recheck:"&amp;$A45,'Config records'!$A$7:$A$62,0))=INDEX('Point requirements'!$G$7:$G$34,MATCH($A45,'Point requirements'!$A$7:$A$34,0)),"Aligned","Mismatch"))))</x:f>
        <x:v>Aligned</x:v>
      </x:c>
      <x:c r="I45" s="24" t="str">
        <x:f>IF(C45="Source missing","Source missing",IF(D45="Not required","Not applicable",IF(D45="Missing display","Not assessed",IF(INDEX('Config records'!$J$7:$J$62,MATCH("Recheck:"&amp;$A45,'Config records'!$A$7:$A$62,0))=INDEX('Point requirements'!$H$7:$H$34,MATCH($A45,'Point requirements'!$A$7:$A$34,0)),"Aligned","Mismatch"))))</x:f>
        <x:v>Aligned</x:v>
      </x:c>
      <x:c r="J45" s="24" t="str">
        <x:f>IF(C45="Source missing","Source missing",IF(INDEX('Point requirements'!$J$7:$J$34,MATCH($A45,'Point requirements'!$A$7:$A$34,0))="Not specified","Not applicable",IF(AND(ISNUMBER(INDEX('Point requirements'!$J$7:$J$34,MATCH($A45,'Point requirements'!$A$7:$A$34,0))),ISNUMBER(INDEX('Config records'!$K$7:$K$62,MATCH("Recheck:"&amp;$A45,'Config records'!$A$7:$A$62,0)))),IF(INDEX('Config records'!$K$7:$K$62,MATCH("Recheck:"&amp;$A45,'Config records'!$A$7:$A$62,0))=INDEX('Point requirements'!$J$7:$J$34,MATCH($A45,'Point requirements'!$A$7:$A$34,0)),"Aligned","Mismatch"),"Not recorded")))</x:f>
        <x:v>Not applicable</x:v>
      </x:c>
      <x:c r="K45" s="24" t="str">
        <x:f>IF(OR(COUNTIFS(C45:J45,"Source missing")&gt;0,N45="Source missing"),"Source missing",IF(AND(COUNTIFS(C45:J45,"Aligned")+COUNTIFS(C45:J45,"Not applicable")+COUNTIFS(C45:J45,"Not required")=8,OR(N45="Aligned",N45="Not applicable")),"Aligned","Follow-up"))</x:f>
        <x:v>Aligned</x:v>
      </x:c>
      <x:c r="L45" s="28" t="str">
        <x:f>IF(COUNTIFS('Point requirements'!$A$7:$A$34,$A45)&lt;&gt;1,"Source missing",INDEX('Point requirements'!$K$7:$K$34,MATCH($A45,'Point requirements'!$A$7:$A$34,0)))</x:f>
        <x:v>F01</x:v>
      </x:c>
      <x:c r="M45" s="24" t="str">
        <x:f>IF(K45&lt;&gt;"Aligned","Review required",IF(INDEX('Point requirements'!$L$7:$L$34,MATCH($A45,'Point requirements'!$A$7:$A$34,0))&lt;&gt;"Confirmed","Review required",IF(L45="None","Reconciled",IF(COUNTIFS(Findings!$A$15:$A$18,L45)&lt;&gt;1,"Source missing",IF(INDEX(Findings!$F$15:$F$18,MATCH(L45,Findings!$A$15:$A$18,0))="Reconciled","Reconciled","Review required")))))</x:f>
        <x:v>Reconciled</x:v>
      </x:c>
      <x:c r="N45" s="24" t="str">
        <x:f>IF(C45="Source missing","Source missing",IF(INDEX('Point requirements'!$N$7:$N$34,MATCH($A45,'Point requirements'!$A$7:$A$34,0))="Not required","Not applicable",IF(INDEX('Config records'!$M$7:$M$62,MATCH("Recheck:"&amp;$A45,'Config records'!$A$7:$A$62,0))=INDEX('Point requirements'!$N$7:$N$34,MATCH($A45,'Point requirements'!$A$7:$A$34,0)),"Aligned","Mismatch")))</x:f>
        <x:v>Aligned</x:v>
      </x:c>
    </x:row>
    <x:row r="46" ht="42" customHeight="1">
      <x:c r="A46" s="27" t="str">
        <x:v>P07</x:v>
      </x:c>
      <x:c r="B46" s="21" t="str">
        <x:f>IF(COUNTIFS('Point requirements'!$A$7:$A$34,$A46)&lt;&gt;1,"Source missing",INDEX('Point requirements'!$B$7:$B$34,MATCH($A46,'Point requirements'!$A$7:$A$34,0)))</x:f>
        <x:v>Supply-air temperature setpoint</x:v>
      </x:c>
      <x:c r="C46" s="21" t="str">
        <x:f>IF(OR($A46="",COUNTIFS('Point requirements'!$A$7:$A$34,$A46)&lt;&gt;1,COUNTIFS('Config records'!$A$7:$A$62,"Recheck:"&amp;$A46)&lt;&gt;1,COUNTIFS($A$40:$A$67,$A46)&lt;&gt;1),"Source missing",IF(OR(INDEX('Point requirements'!$C$7:$C$34,MATCH($A46,'Point requirements'!$A$7:$A$34,0))="",INDEX('Point requirements'!$O$7:$O$34,MATCH($A46,'Point requirements'!$A$7:$A$34,0))="",INDEX('Config records'!$D$7:$D$62,MATCH("Recheck:"&amp;$A46,'Config records'!$A$7:$A$62,0))="",INDEX('Config records'!$N$7:$N$62,MATCH("Recheck:"&amp;$A46,'Config records'!$A$7:$A$62,0))=""),"Source missing",IF(AND(INDEX('Config records'!$D$7:$D$62,MATCH("Recheck:"&amp;$A46,'Config records'!$A$7:$A$62,0))=INDEX('Point requirements'!$C$7:$C$34,MATCH($A46,'Point requirements'!$A$7:$A$34,0)),INDEX('Config records'!$N$7:$N$62,MATCH("Recheck:"&amp;$A46,'Config records'!$A$7:$A$62,0))=INDEX('Point requirements'!$O$7:$O$34,MATCH($A46,'Point requirements'!$A$7:$A$34,0))),"Aligned","Mismatch")))</x:f>
        <x:v>Aligned</x:v>
      </x:c>
      <x:c r="D46" s="21" t="str">
        <x:f>IF(C46="Source missing","Source missing",IF(AND(INDEX('Point requirements'!$D$7:$D$34,MATCH($A46,'Point requirements'!$A$7:$A$34,0))&lt;&gt;"Yes",INDEX('Point requirements'!$D$7:$D$34,MATCH($A46,'Point requirements'!$A$7:$A$34,0))&lt;&gt;"No"),"Source missing",IF(INDEX('Point requirements'!$D$7:$D$34,MATCH($A46,'Point requirements'!$A$7:$A$34,0))="No","Not required",IF(INDEX('Config records'!$E$7:$E$62,MATCH("Recheck:"&amp;$A46,'Config records'!$A$7:$A$62,0))="Yes","Aligned","Missing display"))))</x:f>
        <x:v>Aligned</x:v>
      </x:c>
      <x:c r="E46" s="21" t="str">
        <x:f>IF(C46="Source missing","Source missing",IF(D46="Not required","Not applicable",IF(D46="Missing display","Not assessed",IF(INDEX('Config records'!$F$7:$F$62,MATCH("Recheck:"&amp;$A46,'Config records'!$A$7:$A$62,0))=INDEX('Point requirements'!$C$7:$C$34,MATCH($A46,'Point requirements'!$A$7:$A$34,0)),"Aligned","Mismatch"))))</x:f>
        <x:v>Aligned</x:v>
      </x:c>
      <x:c r="F46" s="21" t="str">
        <x:f>IF(C46="Source missing","Source missing",IF(D46="Not required","Not applicable",IF(D46="Missing display","Not assessed",IF(INDEX('Config records'!$G$7:$G$62,MATCH("Recheck:"&amp;$A46,'Config records'!$A$7:$A$62,0))=INDEX('Point requirements'!$E$7:$E$34,MATCH($A46,'Point requirements'!$A$7:$A$34,0)),"Aligned","Mismatch"))))</x:f>
        <x:v>Aligned</x:v>
      </x:c>
      <x:c r="G46" s="21" t="str">
        <x:f>IF(C46="Source missing","Source missing",IF(D46="Not required","Not applicable",IF(D46="Missing display","Not assessed",IF(INDEX('Config records'!$H$7:$H$62,MATCH("Recheck:"&amp;$A46,'Config records'!$A$7:$A$62,0))=INDEX('Point requirements'!$F$7:$F$34,MATCH($A46,'Point requirements'!$A$7:$A$34,0)),"Aligned","Mismatch"))))</x:f>
        <x:v>Aligned</x:v>
      </x:c>
      <x:c r="H46" s="21" t="str">
        <x:f>IF(C46="Source missing","Source missing",IF(D46="Not required","Not applicable",IF(D46="Missing display","Not assessed",IF(INDEX('Config records'!$I$7:$I$62,MATCH("Recheck:"&amp;$A46,'Config records'!$A$7:$A$62,0))=INDEX('Point requirements'!$G$7:$G$34,MATCH($A46,'Point requirements'!$A$7:$A$34,0)),"Aligned","Mismatch"))))</x:f>
        <x:v>Aligned</x:v>
      </x:c>
      <x:c r="I46" s="21" t="str">
        <x:f>IF(C46="Source missing","Source missing",IF(D46="Not required","Not applicable",IF(D46="Missing display","Not assessed",IF(INDEX('Config records'!$J$7:$J$62,MATCH("Recheck:"&amp;$A46,'Config records'!$A$7:$A$62,0))=INDEX('Point requirements'!$H$7:$H$34,MATCH($A46,'Point requirements'!$A$7:$A$34,0)),"Aligned","Mismatch"))))</x:f>
        <x:v>Aligned</x:v>
      </x:c>
      <x:c r="J46" s="21" t="str">
        <x:f>IF(C46="Source missing","Source missing",IF(INDEX('Point requirements'!$J$7:$J$34,MATCH($A46,'Point requirements'!$A$7:$A$34,0))="Not specified","Not applicable",IF(AND(ISNUMBER(INDEX('Point requirements'!$J$7:$J$34,MATCH($A46,'Point requirements'!$A$7:$A$34,0))),ISNUMBER(INDEX('Config records'!$K$7:$K$62,MATCH("Recheck:"&amp;$A46,'Config records'!$A$7:$A$62,0)))),IF(INDEX('Config records'!$K$7:$K$62,MATCH("Recheck:"&amp;$A46,'Config records'!$A$7:$A$62,0))=INDEX('Point requirements'!$J$7:$J$34,MATCH($A46,'Point requirements'!$A$7:$A$34,0)),"Aligned","Mismatch"),"Not recorded")))</x:f>
        <x:v>Aligned</x:v>
      </x:c>
      <x:c r="K46" s="21" t="str">
        <x:f>IF(OR(COUNTIFS(C46:J46,"Source missing")&gt;0,N46="Source missing"),"Source missing",IF(AND(COUNTIFS(C46:J46,"Aligned")+COUNTIFS(C46:J46,"Not applicable")+COUNTIFS(C46:J46,"Not required")=8,OR(N46="Aligned",N46="Not applicable")),"Aligned","Follow-up"))</x:f>
        <x:v>Aligned</x:v>
      </x:c>
      <x:c r="L46" s="27" t="str">
        <x:f>IF(COUNTIFS('Point requirements'!$A$7:$A$34,$A46)&lt;&gt;1,"Source missing",INDEX('Point requirements'!$K$7:$K$34,MATCH($A46,'Point requirements'!$A$7:$A$34,0)))</x:f>
        <x:v>F03</x:v>
      </x:c>
      <x:c r="M46" s="21" t="str">
        <x:f>IF(K46&lt;&gt;"Aligned","Review required",IF(INDEX('Point requirements'!$L$7:$L$34,MATCH($A46,'Point requirements'!$A$7:$A$34,0))&lt;&gt;"Confirmed","Review required",IF(L46="None","Reconciled",IF(COUNTIFS(Findings!$A$15:$A$18,L46)&lt;&gt;1,"Source missing",IF(INDEX(Findings!$F$15:$F$18,MATCH(L46,Findings!$A$15:$A$18,0))="Reconciled","Reconciled","Review required")))))</x:f>
        <x:v>Reconciled</x:v>
      </x:c>
      <x:c r="N46" s="21" t="str">
        <x:f>IF(C46="Source missing","Source missing",IF(INDEX('Point requirements'!$N$7:$N$34,MATCH($A46,'Point requirements'!$A$7:$A$34,0))="Not required","Not applicable",IF(INDEX('Config records'!$M$7:$M$62,MATCH("Recheck:"&amp;$A46,'Config records'!$A$7:$A$62,0))=INDEX('Point requirements'!$N$7:$N$34,MATCH($A46,'Point requirements'!$A$7:$A$34,0)),"Aligned","Mismatch")))</x:f>
        <x:v>Not applicable</x:v>
      </x:c>
    </x:row>
    <x:row r="47" ht="42" customHeight="1">
      <x:c r="A47" s="28" t="str">
        <x:v>P08</x:v>
      </x:c>
      <x:c r="B47" s="24" t="str">
        <x:f>IF(COUNTIFS('Point requirements'!$A$7:$A$34,$A47)&lt;&gt;1,"Source missing",INDEX('Point requirements'!$B$7:$B$34,MATCH($A47,'Point requirements'!$A$7:$A$34,0)))</x:f>
        <x:v>Chilled/hot-water valve command</x:v>
      </x:c>
      <x:c r="C47" s="24" t="str">
        <x:f>IF(OR($A47="",COUNTIFS('Point requirements'!$A$7:$A$34,$A47)&lt;&gt;1,COUNTIFS('Config records'!$A$7:$A$62,"Recheck:"&amp;$A47)&lt;&gt;1,COUNTIFS($A$40:$A$67,$A47)&lt;&gt;1),"Source missing",IF(OR(INDEX('Point requirements'!$C$7:$C$34,MATCH($A47,'Point requirements'!$A$7:$A$34,0))="",INDEX('Point requirements'!$O$7:$O$34,MATCH($A47,'Point requirements'!$A$7:$A$34,0))="",INDEX('Config records'!$D$7:$D$62,MATCH("Recheck:"&amp;$A47,'Config records'!$A$7:$A$62,0))="",INDEX('Config records'!$N$7:$N$62,MATCH("Recheck:"&amp;$A47,'Config records'!$A$7:$A$62,0))=""),"Source missing",IF(AND(INDEX('Config records'!$D$7:$D$62,MATCH("Recheck:"&amp;$A47,'Config records'!$A$7:$A$62,0))=INDEX('Point requirements'!$C$7:$C$34,MATCH($A47,'Point requirements'!$A$7:$A$34,0)),INDEX('Config records'!$N$7:$N$62,MATCH("Recheck:"&amp;$A47,'Config records'!$A$7:$A$62,0))=INDEX('Point requirements'!$O$7:$O$34,MATCH($A47,'Point requirements'!$A$7:$A$34,0))),"Aligned","Mismatch")))</x:f>
        <x:v>Aligned</x:v>
      </x:c>
      <x:c r="D47" s="24" t="str">
        <x:f>IF(C47="Source missing","Source missing",IF(AND(INDEX('Point requirements'!$D$7:$D$34,MATCH($A47,'Point requirements'!$A$7:$A$34,0))&lt;&gt;"Yes",INDEX('Point requirements'!$D$7:$D$34,MATCH($A47,'Point requirements'!$A$7:$A$34,0))&lt;&gt;"No"),"Source missing",IF(INDEX('Point requirements'!$D$7:$D$34,MATCH($A47,'Point requirements'!$A$7:$A$34,0))="No","Not required",IF(INDEX('Config records'!$E$7:$E$62,MATCH("Recheck:"&amp;$A47,'Config records'!$A$7:$A$62,0))="Yes","Aligned","Missing display"))))</x:f>
        <x:v>Aligned</x:v>
      </x:c>
      <x:c r="E47" s="24" t="str">
        <x:f>IF(C47="Source missing","Source missing",IF(D47="Not required","Not applicable",IF(D47="Missing display","Not assessed",IF(INDEX('Config records'!$F$7:$F$62,MATCH("Recheck:"&amp;$A47,'Config records'!$A$7:$A$62,0))=INDEX('Point requirements'!$C$7:$C$34,MATCH($A47,'Point requirements'!$A$7:$A$34,0)),"Aligned","Mismatch"))))</x:f>
        <x:v>Aligned</x:v>
      </x:c>
      <x:c r="F47" s="24" t="str">
        <x:f>IF(C47="Source missing","Source missing",IF(D47="Not required","Not applicable",IF(D47="Missing display","Not assessed",IF(INDEX('Config records'!$G$7:$G$62,MATCH("Recheck:"&amp;$A47,'Config records'!$A$7:$A$62,0))=INDEX('Point requirements'!$E$7:$E$34,MATCH($A47,'Point requirements'!$A$7:$A$34,0)),"Aligned","Mismatch"))))</x:f>
        <x:v>Aligned</x:v>
      </x:c>
      <x:c r="G47" s="24" t="str">
        <x:f>IF(C47="Source missing","Source missing",IF(D47="Not required","Not applicable",IF(D47="Missing display","Not assessed",IF(INDEX('Config records'!$H$7:$H$62,MATCH("Recheck:"&amp;$A47,'Config records'!$A$7:$A$62,0))=INDEX('Point requirements'!$F$7:$F$34,MATCH($A47,'Point requirements'!$A$7:$A$34,0)),"Aligned","Mismatch"))))</x:f>
        <x:v>Aligned</x:v>
      </x:c>
      <x:c r="H47" s="24" t="str">
        <x:f>IF(C47="Source missing","Source missing",IF(D47="Not required","Not applicable",IF(D47="Missing display","Not assessed",IF(INDEX('Config records'!$I$7:$I$62,MATCH("Recheck:"&amp;$A47,'Config records'!$A$7:$A$62,0))=INDEX('Point requirements'!$G$7:$G$34,MATCH($A47,'Point requirements'!$A$7:$A$34,0)),"Aligned","Mismatch"))))</x:f>
        <x:v>Aligned</x:v>
      </x:c>
      <x:c r="I47" s="24" t="str">
        <x:f>IF(C47="Source missing","Source missing",IF(D47="Not required","Not applicable",IF(D47="Missing display","Not assessed",IF(INDEX('Config records'!$J$7:$J$62,MATCH("Recheck:"&amp;$A47,'Config records'!$A$7:$A$62,0))=INDEX('Point requirements'!$H$7:$H$34,MATCH($A47,'Point requirements'!$A$7:$A$34,0)),"Aligned","Mismatch"))))</x:f>
        <x:v>Aligned</x:v>
      </x:c>
      <x:c r="J47" s="24" t="str">
        <x:f>IF(C47="Source missing","Source missing",IF(INDEX('Point requirements'!$J$7:$J$34,MATCH($A47,'Point requirements'!$A$7:$A$34,0))="Not specified","Not applicable",IF(AND(ISNUMBER(INDEX('Point requirements'!$J$7:$J$34,MATCH($A47,'Point requirements'!$A$7:$A$34,0))),ISNUMBER(INDEX('Config records'!$K$7:$K$62,MATCH("Recheck:"&amp;$A47,'Config records'!$A$7:$A$62,0)))),IF(INDEX('Config records'!$K$7:$K$62,MATCH("Recheck:"&amp;$A47,'Config records'!$A$7:$A$62,0))=INDEX('Point requirements'!$J$7:$J$34,MATCH($A47,'Point requirements'!$A$7:$A$34,0)),"Aligned","Mismatch"),"Not recorded")))</x:f>
        <x:v>Not applicable</x:v>
      </x:c>
      <x:c r="K47" s="24" t="str">
        <x:f>IF(OR(COUNTIFS(C47:J47,"Source missing")&gt;0,N47="Source missing"),"Source missing",IF(AND(COUNTIFS(C47:J47,"Aligned")+COUNTIFS(C47:J47,"Not applicable")+COUNTIFS(C47:J47,"Not required")=8,OR(N47="Aligned",N47="Not applicable")),"Aligned","Follow-up"))</x:f>
        <x:v>Aligned</x:v>
      </x:c>
      <x:c r="L47" s="28" t="str">
        <x:f>IF(COUNTIFS('Point requirements'!$A$7:$A$34,$A47)&lt;&gt;1,"Source missing",INDEX('Point requirements'!$K$7:$K$34,MATCH($A47,'Point requirements'!$A$7:$A$34,0)))</x:f>
        <x:v>None</x:v>
      </x:c>
      <x:c r="M47" s="24" t="str">
        <x:f>IF(K47&lt;&gt;"Aligned","Review required",IF(INDEX('Point requirements'!$L$7:$L$34,MATCH($A47,'Point requirements'!$A$7:$A$34,0))&lt;&gt;"Confirmed","Review required",IF(L47="None","Reconciled",IF(COUNTIFS(Findings!$A$15:$A$18,L47)&lt;&gt;1,"Source missing",IF(INDEX(Findings!$F$15:$F$18,MATCH(L47,Findings!$A$15:$A$18,0))="Reconciled","Reconciled","Review required")))))</x:f>
        <x:v>Reconciled</x:v>
      </x:c>
      <x:c r="N47" s="24" t="str">
        <x:f>IF(C47="Source missing","Source missing",IF(INDEX('Point requirements'!$N$7:$N$34,MATCH($A47,'Point requirements'!$A$7:$A$34,0))="Not required","Not applicable",IF(INDEX('Config records'!$M$7:$M$62,MATCH("Recheck:"&amp;$A47,'Config records'!$A$7:$A$62,0))=INDEX('Point requirements'!$N$7:$N$34,MATCH($A47,'Point requirements'!$A$7:$A$34,0)),"Aligned","Mismatch")))</x:f>
        <x:v>Not applicable</x:v>
      </x:c>
    </x:row>
    <x:row r="48" ht="42" customHeight="1">
      <x:c r="A48" s="27" t="str">
        <x:v>P09</x:v>
      </x:c>
      <x:c r="B48" s="21" t="str">
        <x:f>IF(COUNTIFS('Point requirements'!$A$7:$A$34,$A48)&lt;&gt;1,"Source missing",INDEX('Point requirements'!$B$7:$B$34,MATCH($A48,'Point requirements'!$A$7:$A$34,0)))</x:f>
        <x:v>Filter differential-pressure alarm</x:v>
      </x:c>
      <x:c r="C48" s="21" t="str">
        <x:f>IF(OR($A48="",COUNTIFS('Point requirements'!$A$7:$A$34,$A48)&lt;&gt;1,COUNTIFS('Config records'!$A$7:$A$62,"Recheck:"&amp;$A48)&lt;&gt;1,COUNTIFS($A$40:$A$67,$A48)&lt;&gt;1),"Source missing",IF(OR(INDEX('Point requirements'!$C$7:$C$34,MATCH($A48,'Point requirements'!$A$7:$A$34,0))="",INDEX('Point requirements'!$O$7:$O$34,MATCH($A48,'Point requirements'!$A$7:$A$34,0))="",INDEX('Config records'!$D$7:$D$62,MATCH("Recheck:"&amp;$A48,'Config records'!$A$7:$A$62,0))="",INDEX('Config records'!$N$7:$N$62,MATCH("Recheck:"&amp;$A48,'Config records'!$A$7:$A$62,0))=""),"Source missing",IF(AND(INDEX('Config records'!$D$7:$D$62,MATCH("Recheck:"&amp;$A48,'Config records'!$A$7:$A$62,0))=INDEX('Point requirements'!$C$7:$C$34,MATCH($A48,'Point requirements'!$A$7:$A$34,0)),INDEX('Config records'!$N$7:$N$62,MATCH("Recheck:"&amp;$A48,'Config records'!$A$7:$A$62,0))=INDEX('Point requirements'!$O$7:$O$34,MATCH($A48,'Point requirements'!$A$7:$A$34,0))),"Aligned","Mismatch")))</x:f>
        <x:v>Aligned</x:v>
      </x:c>
      <x:c r="D48" s="21" t="str">
        <x:f>IF(C48="Source missing","Source missing",IF(AND(INDEX('Point requirements'!$D$7:$D$34,MATCH($A48,'Point requirements'!$A$7:$A$34,0))&lt;&gt;"Yes",INDEX('Point requirements'!$D$7:$D$34,MATCH($A48,'Point requirements'!$A$7:$A$34,0))&lt;&gt;"No"),"Source missing",IF(INDEX('Point requirements'!$D$7:$D$34,MATCH($A48,'Point requirements'!$A$7:$A$34,0))="No","Not required",IF(INDEX('Config records'!$E$7:$E$62,MATCH("Recheck:"&amp;$A48,'Config records'!$A$7:$A$62,0))="Yes","Aligned","Missing display"))))</x:f>
        <x:v>Aligned</x:v>
      </x:c>
      <x:c r="E48" s="21" t="str">
        <x:f>IF(C48="Source missing","Source missing",IF(D48="Not required","Not applicable",IF(D48="Missing display","Not assessed",IF(INDEX('Config records'!$F$7:$F$62,MATCH("Recheck:"&amp;$A48,'Config records'!$A$7:$A$62,0))=INDEX('Point requirements'!$C$7:$C$34,MATCH($A48,'Point requirements'!$A$7:$A$34,0)),"Aligned","Mismatch"))))</x:f>
        <x:v>Aligned</x:v>
      </x:c>
      <x:c r="F48" s="21" t="str">
        <x:f>IF(C48="Source missing","Source missing",IF(D48="Not required","Not applicable",IF(D48="Missing display","Not assessed",IF(INDEX('Config records'!$G$7:$G$62,MATCH("Recheck:"&amp;$A48,'Config records'!$A$7:$A$62,0))=INDEX('Point requirements'!$E$7:$E$34,MATCH($A48,'Point requirements'!$A$7:$A$34,0)),"Aligned","Mismatch"))))</x:f>
        <x:v>Aligned</x:v>
      </x:c>
      <x:c r="G48" s="21" t="str">
        <x:f>IF(C48="Source missing","Source missing",IF(D48="Not required","Not applicable",IF(D48="Missing display","Not assessed",IF(INDEX('Config records'!$H$7:$H$62,MATCH("Recheck:"&amp;$A48,'Config records'!$A$7:$A$62,0))=INDEX('Point requirements'!$F$7:$F$34,MATCH($A48,'Point requirements'!$A$7:$A$34,0)),"Aligned","Mismatch"))))</x:f>
        <x:v>Aligned</x:v>
      </x:c>
      <x:c r="H48" s="21" t="str">
        <x:f>IF(C48="Source missing","Source missing",IF(D48="Not required","Not applicable",IF(D48="Missing display","Not assessed",IF(INDEX('Config records'!$I$7:$I$62,MATCH("Recheck:"&amp;$A48,'Config records'!$A$7:$A$62,0))=INDEX('Point requirements'!$G$7:$G$34,MATCH($A48,'Point requirements'!$A$7:$A$34,0)),"Aligned","Mismatch"))))</x:f>
        <x:v>Aligned</x:v>
      </x:c>
      <x:c r="I48" s="21" t="str">
        <x:f>IF(C48="Source missing","Source missing",IF(D48="Not required","Not applicable",IF(D48="Missing display","Not assessed",IF(INDEX('Config records'!$J$7:$J$62,MATCH("Recheck:"&amp;$A48,'Config records'!$A$7:$A$62,0))=INDEX('Point requirements'!$H$7:$H$34,MATCH($A48,'Point requirements'!$A$7:$A$34,0)),"Aligned","Mismatch"))))</x:f>
        <x:v>Aligned</x:v>
      </x:c>
      <x:c r="J48" s="21" t="str">
        <x:f>IF(C48="Source missing","Source missing",IF(INDEX('Point requirements'!$J$7:$J$34,MATCH($A48,'Point requirements'!$A$7:$A$34,0))="Not specified","Not applicable",IF(AND(ISNUMBER(INDEX('Point requirements'!$J$7:$J$34,MATCH($A48,'Point requirements'!$A$7:$A$34,0))),ISNUMBER(INDEX('Config records'!$K$7:$K$62,MATCH("Recheck:"&amp;$A48,'Config records'!$A$7:$A$62,0)))),IF(INDEX('Config records'!$K$7:$K$62,MATCH("Recheck:"&amp;$A48,'Config records'!$A$7:$A$62,0))=INDEX('Point requirements'!$J$7:$J$34,MATCH($A48,'Point requirements'!$A$7:$A$34,0)),"Aligned","Mismatch"),"Not recorded")))</x:f>
        <x:v>Not applicable</x:v>
      </x:c>
      <x:c r="K48" s="21" t="str">
        <x:f>IF(OR(COUNTIFS(C48:J48,"Source missing")&gt;0,N48="Source missing"),"Source missing",IF(AND(COUNTIFS(C48:J48,"Aligned")+COUNTIFS(C48:J48,"Not applicable")+COUNTIFS(C48:J48,"Not required")=8,OR(N48="Aligned",N48="Not applicable")),"Aligned","Follow-up"))</x:f>
        <x:v>Aligned</x:v>
      </x:c>
      <x:c r="L48" s="27" t="str">
        <x:f>IF(COUNTIFS('Point requirements'!$A$7:$A$34,$A48)&lt;&gt;1,"Source missing",INDEX('Point requirements'!$K$7:$K$34,MATCH($A48,'Point requirements'!$A$7:$A$34,0)))</x:f>
        <x:v>None</x:v>
      </x:c>
      <x:c r="M48" s="21" t="str">
        <x:f>IF(K48&lt;&gt;"Aligned","Review required",IF(INDEX('Point requirements'!$L$7:$L$34,MATCH($A48,'Point requirements'!$A$7:$A$34,0))&lt;&gt;"Confirmed","Review required",IF(L48="None","Reconciled",IF(COUNTIFS(Findings!$A$15:$A$18,L48)&lt;&gt;1,"Source missing",IF(INDEX(Findings!$F$15:$F$18,MATCH(L48,Findings!$A$15:$A$18,0))="Reconciled","Reconciled","Review required")))))</x:f>
        <x:v>Reconciled</x:v>
      </x:c>
      <x:c r="N48" s="21" t="str">
        <x:f>IF(C48="Source missing","Source missing",IF(INDEX('Point requirements'!$N$7:$N$34,MATCH($A48,'Point requirements'!$A$7:$A$34,0))="Not required","Not applicable",IF(INDEX('Config records'!$M$7:$M$62,MATCH("Recheck:"&amp;$A48,'Config records'!$A$7:$A$62,0))=INDEX('Point requirements'!$N$7:$N$34,MATCH($A48,'Point requirements'!$A$7:$A$34,0)),"Aligned","Mismatch")))</x:f>
        <x:v>Not applicable</x:v>
      </x:c>
    </x:row>
    <x:row r="49" ht="42" customHeight="1">
      <x:c r="A49" s="28" t="str">
        <x:v>P10</x:v>
      </x:c>
      <x:c r="B49" s="24" t="str">
        <x:f>IF(COUNTIFS('Point requirements'!$A$7:$A$34,$A49)&lt;&gt;1,"Source missing",INDEX('Point requirements'!$B$7:$B$34,MATCH($A49,'Point requirements'!$A$7:$A$34,0)))</x:f>
        <x:v>Shared outdoor-air temperature</x:v>
      </x:c>
      <x:c r="C49" s="24" t="str">
        <x:f>IF(OR($A49="",COUNTIFS('Point requirements'!$A$7:$A$34,$A49)&lt;&gt;1,COUNTIFS('Config records'!$A$7:$A$62,"Recheck:"&amp;$A49)&lt;&gt;1,COUNTIFS($A$40:$A$67,$A49)&lt;&gt;1),"Source missing",IF(OR(INDEX('Point requirements'!$C$7:$C$34,MATCH($A49,'Point requirements'!$A$7:$A$34,0))="",INDEX('Point requirements'!$O$7:$O$34,MATCH($A49,'Point requirements'!$A$7:$A$34,0))="",INDEX('Config records'!$D$7:$D$62,MATCH("Recheck:"&amp;$A49,'Config records'!$A$7:$A$62,0))="",INDEX('Config records'!$N$7:$N$62,MATCH("Recheck:"&amp;$A49,'Config records'!$A$7:$A$62,0))=""),"Source missing",IF(AND(INDEX('Config records'!$D$7:$D$62,MATCH("Recheck:"&amp;$A49,'Config records'!$A$7:$A$62,0))=INDEX('Point requirements'!$C$7:$C$34,MATCH($A49,'Point requirements'!$A$7:$A$34,0)),INDEX('Config records'!$N$7:$N$62,MATCH("Recheck:"&amp;$A49,'Config records'!$A$7:$A$62,0))=INDEX('Point requirements'!$O$7:$O$34,MATCH($A49,'Point requirements'!$A$7:$A$34,0))),"Aligned","Mismatch")))</x:f>
        <x:v>Aligned</x:v>
      </x:c>
      <x:c r="D49" s="24" t="str">
        <x:f>IF(C49="Source missing","Source missing",IF(AND(INDEX('Point requirements'!$D$7:$D$34,MATCH($A49,'Point requirements'!$A$7:$A$34,0))&lt;&gt;"Yes",INDEX('Point requirements'!$D$7:$D$34,MATCH($A49,'Point requirements'!$A$7:$A$34,0))&lt;&gt;"No"),"Source missing",IF(INDEX('Point requirements'!$D$7:$D$34,MATCH($A49,'Point requirements'!$A$7:$A$34,0))="No","Not required",IF(INDEX('Config records'!$E$7:$E$62,MATCH("Recheck:"&amp;$A49,'Config records'!$A$7:$A$62,0))="Yes","Aligned","Missing display"))))</x:f>
        <x:v>Aligned</x:v>
      </x:c>
      <x:c r="E49" s="24" t="str">
        <x:f>IF(C49="Source missing","Source missing",IF(D49="Not required","Not applicable",IF(D49="Missing display","Not assessed",IF(INDEX('Config records'!$F$7:$F$62,MATCH("Recheck:"&amp;$A49,'Config records'!$A$7:$A$62,0))=INDEX('Point requirements'!$C$7:$C$34,MATCH($A49,'Point requirements'!$A$7:$A$34,0)),"Aligned","Mismatch"))))</x:f>
        <x:v>Aligned</x:v>
      </x:c>
      <x:c r="F49" s="24" t="str">
        <x:f>IF(C49="Source missing","Source missing",IF(D49="Not required","Not applicable",IF(D49="Missing display","Not assessed",IF(INDEX('Config records'!$G$7:$G$62,MATCH("Recheck:"&amp;$A49,'Config records'!$A$7:$A$62,0))=INDEX('Point requirements'!$E$7:$E$34,MATCH($A49,'Point requirements'!$A$7:$A$34,0)),"Aligned","Mismatch"))))</x:f>
        <x:v>Aligned</x:v>
      </x:c>
      <x:c r="G49" s="24" t="str">
        <x:f>IF(C49="Source missing","Source missing",IF(D49="Not required","Not applicable",IF(D49="Missing display","Not assessed",IF(INDEX('Config records'!$H$7:$H$62,MATCH("Recheck:"&amp;$A49,'Config records'!$A$7:$A$62,0))=INDEX('Point requirements'!$F$7:$F$34,MATCH($A49,'Point requirements'!$A$7:$A$34,0)),"Aligned","Mismatch"))))</x:f>
        <x:v>Aligned</x:v>
      </x:c>
      <x:c r="H49" s="24" t="str">
        <x:f>IF(C49="Source missing","Source missing",IF(D49="Not required","Not applicable",IF(D49="Missing display","Not assessed",IF(INDEX('Config records'!$I$7:$I$62,MATCH("Recheck:"&amp;$A49,'Config records'!$A$7:$A$62,0))=INDEX('Point requirements'!$G$7:$G$34,MATCH($A49,'Point requirements'!$A$7:$A$34,0)),"Aligned","Mismatch"))))</x:f>
        <x:v>Aligned</x:v>
      </x:c>
      <x:c r="I49" s="24" t="str">
        <x:f>IF(C49="Source missing","Source missing",IF(D49="Not required","Not applicable",IF(D49="Missing display","Not assessed",IF(INDEX('Config records'!$J$7:$J$62,MATCH("Recheck:"&amp;$A49,'Config records'!$A$7:$A$62,0))=INDEX('Point requirements'!$H$7:$H$34,MATCH($A49,'Point requirements'!$A$7:$A$34,0)),"Aligned","Mismatch"))))</x:f>
        <x:v>Aligned</x:v>
      </x:c>
      <x:c r="J49" s="24" t="str">
        <x:f>IF(C49="Source missing","Source missing",IF(INDEX('Point requirements'!$J$7:$J$34,MATCH($A49,'Point requirements'!$A$7:$A$34,0))="Not specified","Not applicable",IF(AND(ISNUMBER(INDEX('Point requirements'!$J$7:$J$34,MATCH($A49,'Point requirements'!$A$7:$A$34,0))),ISNUMBER(INDEX('Config records'!$K$7:$K$62,MATCH("Recheck:"&amp;$A49,'Config records'!$A$7:$A$62,0)))),IF(INDEX('Config records'!$K$7:$K$62,MATCH("Recheck:"&amp;$A49,'Config records'!$A$7:$A$62,0))=INDEX('Point requirements'!$J$7:$J$34,MATCH($A49,'Point requirements'!$A$7:$A$34,0)),"Aligned","Mismatch"),"Not recorded")))</x:f>
        <x:v>Not applicable</x:v>
      </x:c>
      <x:c r="K49" s="24" t="str">
        <x:f>IF(OR(COUNTIFS(C49:J49,"Source missing")&gt;0,N49="Source missing"),"Source missing",IF(AND(COUNTIFS(C49:J49,"Aligned")+COUNTIFS(C49:J49,"Not applicable")+COUNTIFS(C49:J49,"Not required")=8,OR(N49="Aligned",N49="Not applicable")),"Aligned","Follow-up"))</x:f>
        <x:v>Aligned</x:v>
      </x:c>
      <x:c r="L49" s="28" t="str">
        <x:f>IF(COUNTIFS('Point requirements'!$A$7:$A$34,$A49)&lt;&gt;1,"Source missing",INDEX('Point requirements'!$K$7:$K$34,MATCH($A49,'Point requirements'!$A$7:$A$34,0)))</x:f>
        <x:v>None</x:v>
      </x:c>
      <x:c r="M49" s="24" t="str">
        <x:f>IF(K49&lt;&gt;"Aligned","Review required",IF(INDEX('Point requirements'!$L$7:$L$34,MATCH($A49,'Point requirements'!$A$7:$A$34,0))&lt;&gt;"Confirmed","Review required",IF(L49="None","Reconciled",IF(COUNTIFS(Findings!$A$15:$A$18,L49)&lt;&gt;1,"Source missing",IF(INDEX(Findings!$F$15:$F$18,MATCH(L49,Findings!$A$15:$A$18,0))="Reconciled","Reconciled","Review required")))))</x:f>
        <x:v>Reconciled</x:v>
      </x:c>
      <x:c r="N49" s="24" t="str">
        <x:f>IF(C49="Source missing","Source missing",IF(INDEX('Point requirements'!$N$7:$N$34,MATCH($A49,'Point requirements'!$A$7:$A$34,0))="Not required","Not applicable",IF(INDEX('Config records'!$M$7:$M$62,MATCH("Recheck:"&amp;$A49,'Config records'!$A$7:$A$62,0))=INDEX('Point requirements'!$N$7:$N$34,MATCH($A49,'Point requirements'!$A$7:$A$34,0)),"Aligned","Mismatch")))</x:f>
        <x:v>Not applicable</x:v>
      </x:c>
    </x:row>
    <x:row r="50" ht="42" customHeight="1">
      <x:c r="A50" s="27" t="str">
        <x:v>P11</x:v>
      </x:c>
      <x:c r="B50" s="21" t="str">
        <x:f>IF(COUNTIFS('Point requirements'!$A$7:$A$34,$A50)&lt;&gt;1,"Source missing",INDEX('Point requirements'!$B$7:$B$34,MATCH($A50,'Point requirements'!$A$7:$A$34,0)))</x:f>
        <x:v>Shared outdoor-air humidity</x:v>
      </x:c>
      <x:c r="C50" s="21" t="str">
        <x:f>IF(OR($A50="",COUNTIFS('Point requirements'!$A$7:$A$34,$A50)&lt;&gt;1,COUNTIFS('Config records'!$A$7:$A$62,"Recheck:"&amp;$A50)&lt;&gt;1,COUNTIFS($A$40:$A$67,$A50)&lt;&gt;1),"Source missing",IF(OR(INDEX('Point requirements'!$C$7:$C$34,MATCH($A50,'Point requirements'!$A$7:$A$34,0))="",INDEX('Point requirements'!$O$7:$O$34,MATCH($A50,'Point requirements'!$A$7:$A$34,0))="",INDEX('Config records'!$D$7:$D$62,MATCH("Recheck:"&amp;$A50,'Config records'!$A$7:$A$62,0))="",INDEX('Config records'!$N$7:$N$62,MATCH("Recheck:"&amp;$A50,'Config records'!$A$7:$A$62,0))=""),"Source missing",IF(AND(INDEX('Config records'!$D$7:$D$62,MATCH("Recheck:"&amp;$A50,'Config records'!$A$7:$A$62,0))=INDEX('Point requirements'!$C$7:$C$34,MATCH($A50,'Point requirements'!$A$7:$A$34,0)),INDEX('Config records'!$N$7:$N$62,MATCH("Recheck:"&amp;$A50,'Config records'!$A$7:$A$62,0))=INDEX('Point requirements'!$O$7:$O$34,MATCH($A50,'Point requirements'!$A$7:$A$34,0))),"Aligned","Mismatch")))</x:f>
        <x:v>Aligned</x:v>
      </x:c>
      <x:c r="D50" s="21" t="str">
        <x:f>IF(C50="Source missing","Source missing",IF(AND(INDEX('Point requirements'!$D$7:$D$34,MATCH($A50,'Point requirements'!$A$7:$A$34,0))&lt;&gt;"Yes",INDEX('Point requirements'!$D$7:$D$34,MATCH($A50,'Point requirements'!$A$7:$A$34,0))&lt;&gt;"No"),"Source missing",IF(INDEX('Point requirements'!$D$7:$D$34,MATCH($A50,'Point requirements'!$A$7:$A$34,0))="No","Not required",IF(INDEX('Config records'!$E$7:$E$62,MATCH("Recheck:"&amp;$A50,'Config records'!$A$7:$A$62,0))="Yes","Aligned","Missing display"))))</x:f>
        <x:v>Aligned</x:v>
      </x:c>
      <x:c r="E50" s="21" t="str">
        <x:f>IF(C50="Source missing","Source missing",IF(D50="Not required","Not applicable",IF(D50="Missing display","Not assessed",IF(INDEX('Config records'!$F$7:$F$62,MATCH("Recheck:"&amp;$A50,'Config records'!$A$7:$A$62,0))=INDEX('Point requirements'!$C$7:$C$34,MATCH($A50,'Point requirements'!$A$7:$A$34,0)),"Aligned","Mismatch"))))</x:f>
        <x:v>Aligned</x:v>
      </x:c>
      <x:c r="F50" s="21" t="str">
        <x:f>IF(C50="Source missing","Source missing",IF(D50="Not required","Not applicable",IF(D50="Missing display","Not assessed",IF(INDEX('Config records'!$G$7:$G$62,MATCH("Recheck:"&amp;$A50,'Config records'!$A$7:$A$62,0))=INDEX('Point requirements'!$E$7:$E$34,MATCH($A50,'Point requirements'!$A$7:$A$34,0)),"Aligned","Mismatch"))))</x:f>
        <x:v>Aligned</x:v>
      </x:c>
      <x:c r="G50" s="21" t="str">
        <x:f>IF(C50="Source missing","Source missing",IF(D50="Not required","Not applicable",IF(D50="Missing display","Not assessed",IF(INDEX('Config records'!$H$7:$H$62,MATCH("Recheck:"&amp;$A50,'Config records'!$A$7:$A$62,0))=INDEX('Point requirements'!$F$7:$F$34,MATCH($A50,'Point requirements'!$A$7:$A$34,0)),"Aligned","Mismatch"))))</x:f>
        <x:v>Aligned</x:v>
      </x:c>
      <x:c r="H50" s="21" t="str">
        <x:f>IF(C50="Source missing","Source missing",IF(D50="Not required","Not applicable",IF(D50="Missing display","Not assessed",IF(INDEX('Config records'!$I$7:$I$62,MATCH("Recheck:"&amp;$A50,'Config records'!$A$7:$A$62,0))=INDEX('Point requirements'!$G$7:$G$34,MATCH($A50,'Point requirements'!$A$7:$A$34,0)),"Aligned","Mismatch"))))</x:f>
        <x:v>Aligned</x:v>
      </x:c>
      <x:c r="I50" s="21" t="str">
        <x:f>IF(C50="Source missing","Source missing",IF(D50="Not required","Not applicable",IF(D50="Missing display","Not assessed",IF(INDEX('Config records'!$J$7:$J$62,MATCH("Recheck:"&amp;$A50,'Config records'!$A$7:$A$62,0))=INDEX('Point requirements'!$H$7:$H$34,MATCH($A50,'Point requirements'!$A$7:$A$34,0)),"Aligned","Mismatch"))))</x:f>
        <x:v>Aligned</x:v>
      </x:c>
      <x:c r="J50" s="21" t="str">
        <x:f>IF(C50="Source missing","Source missing",IF(INDEX('Point requirements'!$J$7:$J$34,MATCH($A50,'Point requirements'!$A$7:$A$34,0))="Not specified","Not applicable",IF(AND(ISNUMBER(INDEX('Point requirements'!$J$7:$J$34,MATCH($A50,'Point requirements'!$A$7:$A$34,0))),ISNUMBER(INDEX('Config records'!$K$7:$K$62,MATCH("Recheck:"&amp;$A50,'Config records'!$A$7:$A$62,0)))),IF(INDEX('Config records'!$K$7:$K$62,MATCH("Recheck:"&amp;$A50,'Config records'!$A$7:$A$62,0))=INDEX('Point requirements'!$J$7:$J$34,MATCH($A50,'Point requirements'!$A$7:$A$34,0)),"Aligned","Mismatch"),"Not recorded")))</x:f>
        <x:v>Not applicable</x:v>
      </x:c>
      <x:c r="K50" s="21" t="str">
        <x:f>IF(OR(COUNTIFS(C50:J50,"Source missing")&gt;0,N50="Source missing"),"Source missing",IF(AND(COUNTIFS(C50:J50,"Aligned")+COUNTIFS(C50:J50,"Not applicable")+COUNTIFS(C50:J50,"Not required")=8,OR(N50="Aligned",N50="Not applicable")),"Aligned","Follow-up"))</x:f>
        <x:v>Aligned</x:v>
      </x:c>
      <x:c r="L50" s="27" t="str">
        <x:f>IF(COUNTIFS('Point requirements'!$A$7:$A$34,$A50)&lt;&gt;1,"Source missing",INDEX('Point requirements'!$K$7:$K$34,MATCH($A50,'Point requirements'!$A$7:$A$34,0)))</x:f>
        <x:v>None</x:v>
      </x:c>
      <x:c r="M50" s="21" t="str">
        <x:f>IF(K50&lt;&gt;"Aligned","Review required",IF(INDEX('Point requirements'!$L$7:$L$34,MATCH($A50,'Point requirements'!$A$7:$A$34,0))&lt;&gt;"Confirmed","Review required",IF(L50="None","Reconciled",IF(COUNTIFS(Findings!$A$15:$A$18,L50)&lt;&gt;1,"Source missing",IF(INDEX(Findings!$F$15:$F$18,MATCH(L50,Findings!$A$15:$A$18,0))="Reconciled","Reconciled","Review required")))))</x:f>
        <x:v>Reconciled</x:v>
      </x:c>
      <x:c r="N50" s="21" t="str">
        <x:f>IF(C50="Source missing","Source missing",IF(INDEX('Point requirements'!$N$7:$N$34,MATCH($A50,'Point requirements'!$A$7:$A$34,0))="Not required","Not applicable",IF(INDEX('Config records'!$M$7:$M$62,MATCH("Recheck:"&amp;$A50,'Config records'!$A$7:$A$62,0))=INDEX('Point requirements'!$N$7:$N$34,MATCH($A50,'Point requirements'!$A$7:$A$34,0)),"Aligned","Mismatch")))</x:f>
        <x:v>Not applicable</x:v>
      </x:c>
    </x:row>
    <x:row r="51" ht="42" customHeight="1">
      <x:c r="A51" s="28" t="str">
        <x:v>P12</x:v>
      </x:c>
      <x:c r="B51" s="24" t="str">
        <x:f>IF(COUNTIFS('Point requirements'!$A$7:$A$34,$A51)&lt;&gt;1,"Source missing",INDEX('Point requirements'!$B$7:$B$34,MATCH($A51,'Point requirements'!$A$7:$A$34,0)))</x:f>
        <x:v>Economizer enabled status</x:v>
      </x:c>
      <x:c r="C51" s="24" t="str">
        <x:f>IF(OR($A51="",COUNTIFS('Point requirements'!$A$7:$A$34,$A51)&lt;&gt;1,COUNTIFS('Config records'!$A$7:$A$62,"Recheck:"&amp;$A51)&lt;&gt;1,COUNTIFS($A$40:$A$67,$A51)&lt;&gt;1),"Source missing",IF(OR(INDEX('Point requirements'!$C$7:$C$34,MATCH($A51,'Point requirements'!$A$7:$A$34,0))="",INDEX('Point requirements'!$O$7:$O$34,MATCH($A51,'Point requirements'!$A$7:$A$34,0))="",INDEX('Config records'!$D$7:$D$62,MATCH("Recheck:"&amp;$A51,'Config records'!$A$7:$A$62,0))="",INDEX('Config records'!$N$7:$N$62,MATCH("Recheck:"&amp;$A51,'Config records'!$A$7:$A$62,0))=""),"Source missing",IF(AND(INDEX('Config records'!$D$7:$D$62,MATCH("Recheck:"&amp;$A51,'Config records'!$A$7:$A$62,0))=INDEX('Point requirements'!$C$7:$C$34,MATCH($A51,'Point requirements'!$A$7:$A$34,0)),INDEX('Config records'!$N$7:$N$62,MATCH("Recheck:"&amp;$A51,'Config records'!$A$7:$A$62,0))=INDEX('Point requirements'!$O$7:$O$34,MATCH($A51,'Point requirements'!$A$7:$A$34,0))),"Aligned","Mismatch")))</x:f>
        <x:v>Aligned</x:v>
      </x:c>
      <x:c r="D51" s="24" t="str">
        <x:f>IF(C51="Source missing","Source missing",IF(AND(INDEX('Point requirements'!$D$7:$D$34,MATCH($A51,'Point requirements'!$A$7:$A$34,0))&lt;&gt;"Yes",INDEX('Point requirements'!$D$7:$D$34,MATCH($A51,'Point requirements'!$A$7:$A$34,0))&lt;&gt;"No"),"Source missing",IF(INDEX('Point requirements'!$D$7:$D$34,MATCH($A51,'Point requirements'!$A$7:$A$34,0))="No","Not required",IF(INDEX('Config records'!$E$7:$E$62,MATCH("Recheck:"&amp;$A51,'Config records'!$A$7:$A$62,0))="Yes","Aligned","Missing display"))))</x:f>
        <x:v>Aligned</x:v>
      </x:c>
      <x:c r="E51" s="24" t="str">
        <x:f>IF(C51="Source missing","Source missing",IF(D51="Not required","Not applicable",IF(D51="Missing display","Not assessed",IF(INDEX('Config records'!$F$7:$F$62,MATCH("Recheck:"&amp;$A51,'Config records'!$A$7:$A$62,0))=INDEX('Point requirements'!$C$7:$C$34,MATCH($A51,'Point requirements'!$A$7:$A$34,0)),"Aligned","Mismatch"))))</x:f>
        <x:v>Aligned</x:v>
      </x:c>
      <x:c r="F51" s="24" t="str">
        <x:f>IF(C51="Source missing","Source missing",IF(D51="Not required","Not applicable",IF(D51="Missing display","Not assessed",IF(INDEX('Config records'!$G$7:$G$62,MATCH("Recheck:"&amp;$A51,'Config records'!$A$7:$A$62,0))=INDEX('Point requirements'!$E$7:$E$34,MATCH($A51,'Point requirements'!$A$7:$A$34,0)),"Aligned","Mismatch"))))</x:f>
        <x:v>Aligned</x:v>
      </x:c>
      <x:c r="G51" s="24" t="str">
        <x:f>IF(C51="Source missing","Source missing",IF(D51="Not required","Not applicable",IF(D51="Missing display","Not assessed",IF(INDEX('Config records'!$H$7:$H$62,MATCH("Recheck:"&amp;$A51,'Config records'!$A$7:$A$62,0))=INDEX('Point requirements'!$F$7:$F$34,MATCH($A51,'Point requirements'!$A$7:$A$34,0)),"Aligned","Mismatch"))))</x:f>
        <x:v>Aligned</x:v>
      </x:c>
      <x:c r="H51" s="24" t="str">
        <x:f>IF(C51="Source missing","Source missing",IF(D51="Not required","Not applicable",IF(D51="Missing display","Not assessed",IF(INDEX('Config records'!$I$7:$I$62,MATCH("Recheck:"&amp;$A51,'Config records'!$A$7:$A$62,0))=INDEX('Point requirements'!$G$7:$G$34,MATCH($A51,'Point requirements'!$A$7:$A$34,0)),"Aligned","Mismatch"))))</x:f>
        <x:v>Aligned</x:v>
      </x:c>
      <x:c r="I51" s="24" t="str">
        <x:f>IF(C51="Source missing","Source missing",IF(D51="Not required","Not applicable",IF(D51="Missing display","Not assessed",IF(INDEX('Config records'!$J$7:$J$62,MATCH("Recheck:"&amp;$A51,'Config records'!$A$7:$A$62,0))=INDEX('Point requirements'!$H$7:$H$34,MATCH($A51,'Point requirements'!$A$7:$A$34,0)),"Aligned","Mismatch"))))</x:f>
        <x:v>Aligned</x:v>
      </x:c>
      <x:c r="J51" s="24" t="str">
        <x:f>IF(C51="Source missing","Source missing",IF(INDEX('Point requirements'!$J$7:$J$34,MATCH($A51,'Point requirements'!$A$7:$A$34,0))="Not specified","Not applicable",IF(AND(ISNUMBER(INDEX('Point requirements'!$J$7:$J$34,MATCH($A51,'Point requirements'!$A$7:$A$34,0))),ISNUMBER(INDEX('Config records'!$K$7:$K$62,MATCH("Recheck:"&amp;$A51,'Config records'!$A$7:$A$62,0)))),IF(INDEX('Config records'!$K$7:$K$62,MATCH("Recheck:"&amp;$A51,'Config records'!$A$7:$A$62,0))=INDEX('Point requirements'!$J$7:$J$34,MATCH($A51,'Point requirements'!$A$7:$A$34,0)),"Aligned","Mismatch"),"Not recorded")))</x:f>
        <x:v>Not applicable</x:v>
      </x:c>
      <x:c r="K51" s="24" t="str">
        <x:f>IF(OR(COUNTIFS(C51:J51,"Source missing")&gt;0,N51="Source missing"),"Source missing",IF(AND(COUNTIFS(C51:J51,"Aligned")+COUNTIFS(C51:J51,"Not applicable")+COUNTIFS(C51:J51,"Not required")=8,OR(N51="Aligned",N51="Not applicable")),"Aligned","Follow-up"))</x:f>
        <x:v>Aligned</x:v>
      </x:c>
      <x:c r="L51" s="28" t="str">
        <x:f>IF(COUNTIFS('Point requirements'!$A$7:$A$34,$A51)&lt;&gt;1,"Source missing",INDEX('Point requirements'!$K$7:$K$34,MATCH($A51,'Point requirements'!$A$7:$A$34,0)))</x:f>
        <x:v>None</x:v>
      </x:c>
      <x:c r="M51" s="24" t="str">
        <x:f>IF(K51&lt;&gt;"Aligned","Review required",IF(INDEX('Point requirements'!$L$7:$L$34,MATCH($A51,'Point requirements'!$A$7:$A$34,0))&lt;&gt;"Confirmed","Review required",IF(L51="None","Reconciled",IF(COUNTIFS(Findings!$A$15:$A$18,L51)&lt;&gt;1,"Source missing",IF(INDEX(Findings!$F$15:$F$18,MATCH(L51,Findings!$A$15:$A$18,0))="Reconciled","Reconciled","Review required")))))</x:f>
        <x:v>Reconciled</x:v>
      </x:c>
      <x:c r="N51" s="24" t="str">
        <x:f>IF(C51="Source missing","Source missing",IF(INDEX('Point requirements'!$N$7:$N$34,MATCH($A51,'Point requirements'!$A$7:$A$34,0))="Not required","Not applicable",IF(INDEX('Config records'!$M$7:$M$62,MATCH("Recheck:"&amp;$A51,'Config records'!$A$7:$A$62,0))=INDEX('Point requirements'!$N$7:$N$34,MATCH($A51,'Point requirements'!$A$7:$A$34,0)),"Aligned","Mismatch")))</x:f>
        <x:v>Not applicable</x:v>
      </x:c>
    </x:row>
    <x:row r="52" ht="42" customHeight="1">
      <x:c r="A52" s="27" t="str">
        <x:v>P13</x:v>
      </x:c>
      <x:c r="B52" s="21" t="str">
        <x:f>IF(COUNTIFS('Point requirements'!$A$7:$A$34,$A52)&lt;&gt;1,"Source missing",INDEX('Point requirements'!$B$7:$B$34,MATCH($A52,'Point requirements'!$A$7:$A$34,0)))</x:f>
        <x:v>Economizer active status</x:v>
      </x:c>
      <x:c r="C52" s="21" t="str">
        <x:f>IF(OR($A52="",COUNTIFS('Point requirements'!$A$7:$A$34,$A52)&lt;&gt;1,COUNTIFS('Config records'!$A$7:$A$62,"Recheck:"&amp;$A52)&lt;&gt;1,COUNTIFS($A$40:$A$67,$A52)&lt;&gt;1),"Source missing",IF(OR(INDEX('Point requirements'!$C$7:$C$34,MATCH($A52,'Point requirements'!$A$7:$A$34,0))="",INDEX('Point requirements'!$O$7:$O$34,MATCH($A52,'Point requirements'!$A$7:$A$34,0))="",INDEX('Config records'!$D$7:$D$62,MATCH("Recheck:"&amp;$A52,'Config records'!$A$7:$A$62,0))="",INDEX('Config records'!$N$7:$N$62,MATCH("Recheck:"&amp;$A52,'Config records'!$A$7:$A$62,0))=""),"Source missing",IF(AND(INDEX('Config records'!$D$7:$D$62,MATCH("Recheck:"&amp;$A52,'Config records'!$A$7:$A$62,0))=INDEX('Point requirements'!$C$7:$C$34,MATCH($A52,'Point requirements'!$A$7:$A$34,0)),INDEX('Config records'!$N$7:$N$62,MATCH("Recheck:"&amp;$A52,'Config records'!$A$7:$A$62,0))=INDEX('Point requirements'!$O$7:$O$34,MATCH($A52,'Point requirements'!$A$7:$A$34,0))),"Aligned","Mismatch")))</x:f>
        <x:v>Aligned</x:v>
      </x:c>
      <x:c r="D52" s="21" t="str">
        <x:f>IF(C52="Source missing","Source missing",IF(AND(INDEX('Point requirements'!$D$7:$D$34,MATCH($A52,'Point requirements'!$A$7:$A$34,0))&lt;&gt;"Yes",INDEX('Point requirements'!$D$7:$D$34,MATCH($A52,'Point requirements'!$A$7:$A$34,0))&lt;&gt;"No"),"Source missing",IF(INDEX('Point requirements'!$D$7:$D$34,MATCH($A52,'Point requirements'!$A$7:$A$34,0))="No","Not required",IF(INDEX('Config records'!$E$7:$E$62,MATCH("Recheck:"&amp;$A52,'Config records'!$A$7:$A$62,0))="Yes","Aligned","Missing display"))))</x:f>
        <x:v>Aligned</x:v>
      </x:c>
      <x:c r="E52" s="21" t="str">
        <x:f>IF(C52="Source missing","Source missing",IF(D52="Not required","Not applicable",IF(D52="Missing display","Not assessed",IF(INDEX('Config records'!$F$7:$F$62,MATCH("Recheck:"&amp;$A52,'Config records'!$A$7:$A$62,0))=INDEX('Point requirements'!$C$7:$C$34,MATCH($A52,'Point requirements'!$A$7:$A$34,0)),"Aligned","Mismatch"))))</x:f>
        <x:v>Aligned</x:v>
      </x:c>
      <x:c r="F52" s="21" t="str">
        <x:f>IF(C52="Source missing","Source missing",IF(D52="Not required","Not applicable",IF(D52="Missing display","Not assessed",IF(INDEX('Config records'!$G$7:$G$62,MATCH("Recheck:"&amp;$A52,'Config records'!$A$7:$A$62,0))=INDEX('Point requirements'!$E$7:$E$34,MATCH($A52,'Point requirements'!$A$7:$A$34,0)),"Aligned","Mismatch"))))</x:f>
        <x:v>Aligned</x:v>
      </x:c>
      <x:c r="G52" s="21" t="str">
        <x:f>IF(C52="Source missing","Source missing",IF(D52="Not required","Not applicable",IF(D52="Missing display","Not assessed",IF(INDEX('Config records'!$H$7:$H$62,MATCH("Recheck:"&amp;$A52,'Config records'!$A$7:$A$62,0))=INDEX('Point requirements'!$F$7:$F$34,MATCH($A52,'Point requirements'!$A$7:$A$34,0)),"Aligned","Mismatch"))))</x:f>
        <x:v>Aligned</x:v>
      </x:c>
      <x:c r="H52" s="21" t="str">
        <x:f>IF(C52="Source missing","Source missing",IF(D52="Not required","Not applicable",IF(D52="Missing display","Not assessed",IF(INDEX('Config records'!$I$7:$I$62,MATCH("Recheck:"&amp;$A52,'Config records'!$A$7:$A$62,0))=INDEX('Point requirements'!$G$7:$G$34,MATCH($A52,'Point requirements'!$A$7:$A$34,0)),"Aligned","Mismatch"))))</x:f>
        <x:v>Aligned</x:v>
      </x:c>
      <x:c r="I52" s="21" t="str">
        <x:f>IF(C52="Source missing","Source missing",IF(D52="Not required","Not applicable",IF(D52="Missing display","Not assessed",IF(INDEX('Config records'!$J$7:$J$62,MATCH("Recheck:"&amp;$A52,'Config records'!$A$7:$A$62,0))=INDEX('Point requirements'!$H$7:$H$34,MATCH($A52,'Point requirements'!$A$7:$A$34,0)),"Aligned","Mismatch"))))</x:f>
        <x:v>Aligned</x:v>
      </x:c>
      <x:c r="J52" s="21" t="str">
        <x:f>IF(C52="Source missing","Source missing",IF(INDEX('Point requirements'!$J$7:$J$34,MATCH($A52,'Point requirements'!$A$7:$A$34,0))="Not specified","Not applicable",IF(AND(ISNUMBER(INDEX('Point requirements'!$J$7:$J$34,MATCH($A52,'Point requirements'!$A$7:$A$34,0))),ISNUMBER(INDEX('Config records'!$K$7:$K$62,MATCH("Recheck:"&amp;$A52,'Config records'!$A$7:$A$62,0)))),IF(INDEX('Config records'!$K$7:$K$62,MATCH("Recheck:"&amp;$A52,'Config records'!$A$7:$A$62,0))=INDEX('Point requirements'!$J$7:$J$34,MATCH($A52,'Point requirements'!$A$7:$A$34,0)),"Aligned","Mismatch"),"Not recorded")))</x:f>
        <x:v>Not applicable</x:v>
      </x:c>
      <x:c r="K52" s="21" t="str">
        <x:f>IF(OR(COUNTIFS(C52:J52,"Source missing")&gt;0,N52="Source missing"),"Source missing",IF(AND(COUNTIFS(C52:J52,"Aligned")+COUNTIFS(C52:J52,"Not applicable")+COUNTIFS(C52:J52,"Not required")=8,OR(N52="Aligned",N52="Not applicable")),"Aligned","Follow-up"))</x:f>
        <x:v>Aligned</x:v>
      </x:c>
      <x:c r="L52" s="27" t="str">
        <x:f>IF(COUNTIFS('Point requirements'!$A$7:$A$34,$A52)&lt;&gt;1,"Source missing",INDEX('Point requirements'!$K$7:$K$34,MATCH($A52,'Point requirements'!$A$7:$A$34,0)))</x:f>
        <x:v>None</x:v>
      </x:c>
      <x:c r="M52" s="21" t="str">
        <x:f>IF(K52&lt;&gt;"Aligned","Review required",IF(INDEX('Point requirements'!$L$7:$L$34,MATCH($A52,'Point requirements'!$A$7:$A$34,0))&lt;&gt;"Confirmed","Review required",IF(L52="None","Reconciled",IF(COUNTIFS(Findings!$A$15:$A$18,L52)&lt;&gt;1,"Source missing",IF(INDEX(Findings!$F$15:$F$18,MATCH(L52,Findings!$A$15:$A$18,0))="Reconciled","Reconciled","Review required")))))</x:f>
        <x:v>Reconciled</x:v>
      </x:c>
      <x:c r="N52" s="21" t="str">
        <x:f>IF(C52="Source missing","Source missing",IF(INDEX('Point requirements'!$N$7:$N$34,MATCH($A52,'Point requirements'!$A$7:$A$34,0))="Not required","Not applicable",IF(INDEX('Config records'!$M$7:$M$62,MATCH("Recheck:"&amp;$A52,'Config records'!$A$7:$A$62,0))=INDEX('Point requirements'!$N$7:$N$34,MATCH($A52,'Point requirements'!$A$7:$A$34,0)),"Aligned","Mismatch")))</x:f>
        <x:v>Not applicable</x:v>
      </x:c>
    </x:row>
    <x:row r="53" ht="42" customHeight="1">
      <x:c r="A53" s="28" t="str">
        <x:v>P14</x:v>
      </x:c>
      <x:c r="B53" s="24" t="str">
        <x:f>IF(COUNTIFS('Point requirements'!$A$7:$A$34,$A53)&lt;&gt;1,"Source missing",INDEX('Point requirements'!$B$7:$B$34,MATCH($A53,'Point requirements'!$A$7:$A$34,0)))</x:f>
        <x:v>Freeze-protection enabled status</x:v>
      </x:c>
      <x:c r="C53" s="24" t="str">
        <x:f>IF(OR($A53="",COUNTIFS('Point requirements'!$A$7:$A$34,$A53)&lt;&gt;1,COUNTIFS('Config records'!$A$7:$A$62,"Recheck:"&amp;$A53)&lt;&gt;1,COUNTIFS($A$40:$A$67,$A53)&lt;&gt;1),"Source missing",IF(OR(INDEX('Point requirements'!$C$7:$C$34,MATCH($A53,'Point requirements'!$A$7:$A$34,0))="",INDEX('Point requirements'!$O$7:$O$34,MATCH($A53,'Point requirements'!$A$7:$A$34,0))="",INDEX('Config records'!$D$7:$D$62,MATCH("Recheck:"&amp;$A53,'Config records'!$A$7:$A$62,0))="",INDEX('Config records'!$N$7:$N$62,MATCH("Recheck:"&amp;$A53,'Config records'!$A$7:$A$62,0))=""),"Source missing",IF(AND(INDEX('Config records'!$D$7:$D$62,MATCH("Recheck:"&amp;$A53,'Config records'!$A$7:$A$62,0))=INDEX('Point requirements'!$C$7:$C$34,MATCH($A53,'Point requirements'!$A$7:$A$34,0)),INDEX('Config records'!$N$7:$N$62,MATCH("Recheck:"&amp;$A53,'Config records'!$A$7:$A$62,0))=INDEX('Point requirements'!$O$7:$O$34,MATCH($A53,'Point requirements'!$A$7:$A$34,0))),"Aligned","Mismatch")))</x:f>
        <x:v>Aligned</x:v>
      </x:c>
      <x:c r="D53" s="24" t="str">
        <x:f>IF(C53="Source missing","Source missing",IF(AND(INDEX('Point requirements'!$D$7:$D$34,MATCH($A53,'Point requirements'!$A$7:$A$34,0))&lt;&gt;"Yes",INDEX('Point requirements'!$D$7:$D$34,MATCH($A53,'Point requirements'!$A$7:$A$34,0))&lt;&gt;"No"),"Source missing",IF(INDEX('Point requirements'!$D$7:$D$34,MATCH($A53,'Point requirements'!$A$7:$A$34,0))="No","Not required",IF(INDEX('Config records'!$E$7:$E$62,MATCH("Recheck:"&amp;$A53,'Config records'!$A$7:$A$62,0))="Yes","Aligned","Missing display"))))</x:f>
        <x:v>Aligned</x:v>
      </x:c>
      <x:c r="E53" s="24" t="str">
        <x:f>IF(C53="Source missing","Source missing",IF(D53="Not required","Not applicable",IF(D53="Missing display","Not assessed",IF(INDEX('Config records'!$F$7:$F$62,MATCH("Recheck:"&amp;$A53,'Config records'!$A$7:$A$62,0))=INDEX('Point requirements'!$C$7:$C$34,MATCH($A53,'Point requirements'!$A$7:$A$34,0)),"Aligned","Mismatch"))))</x:f>
        <x:v>Aligned</x:v>
      </x:c>
      <x:c r="F53" s="24" t="str">
        <x:f>IF(C53="Source missing","Source missing",IF(D53="Not required","Not applicable",IF(D53="Missing display","Not assessed",IF(INDEX('Config records'!$G$7:$G$62,MATCH("Recheck:"&amp;$A53,'Config records'!$A$7:$A$62,0))=INDEX('Point requirements'!$E$7:$E$34,MATCH($A53,'Point requirements'!$A$7:$A$34,0)),"Aligned","Mismatch"))))</x:f>
        <x:v>Aligned</x:v>
      </x:c>
      <x:c r="G53" s="24" t="str">
        <x:f>IF(C53="Source missing","Source missing",IF(D53="Not required","Not applicable",IF(D53="Missing display","Not assessed",IF(INDEX('Config records'!$H$7:$H$62,MATCH("Recheck:"&amp;$A53,'Config records'!$A$7:$A$62,0))=INDEX('Point requirements'!$F$7:$F$34,MATCH($A53,'Point requirements'!$A$7:$A$34,0)),"Aligned","Mismatch"))))</x:f>
        <x:v>Aligned</x:v>
      </x:c>
      <x:c r="H53" s="24" t="str">
        <x:f>IF(C53="Source missing","Source missing",IF(D53="Not required","Not applicable",IF(D53="Missing display","Not assessed",IF(INDEX('Config records'!$I$7:$I$62,MATCH("Recheck:"&amp;$A53,'Config records'!$A$7:$A$62,0))=INDEX('Point requirements'!$G$7:$G$34,MATCH($A53,'Point requirements'!$A$7:$A$34,0)),"Aligned","Mismatch"))))</x:f>
        <x:v>Aligned</x:v>
      </x:c>
      <x:c r="I53" s="24" t="str">
        <x:f>IF(C53="Source missing","Source missing",IF(D53="Not required","Not applicable",IF(D53="Missing display","Not assessed",IF(INDEX('Config records'!$J$7:$J$62,MATCH("Recheck:"&amp;$A53,'Config records'!$A$7:$A$62,0))=INDEX('Point requirements'!$H$7:$H$34,MATCH($A53,'Point requirements'!$A$7:$A$34,0)),"Aligned","Mismatch"))))</x:f>
        <x:v>Aligned</x:v>
      </x:c>
      <x:c r="J53" s="24" t="str">
        <x:f>IF(C53="Source missing","Source missing",IF(INDEX('Point requirements'!$J$7:$J$34,MATCH($A53,'Point requirements'!$A$7:$A$34,0))="Not specified","Not applicable",IF(AND(ISNUMBER(INDEX('Point requirements'!$J$7:$J$34,MATCH($A53,'Point requirements'!$A$7:$A$34,0))),ISNUMBER(INDEX('Config records'!$K$7:$K$62,MATCH("Recheck:"&amp;$A53,'Config records'!$A$7:$A$62,0)))),IF(INDEX('Config records'!$K$7:$K$62,MATCH("Recheck:"&amp;$A53,'Config records'!$A$7:$A$62,0))=INDEX('Point requirements'!$J$7:$J$34,MATCH($A53,'Point requirements'!$A$7:$A$34,0)),"Aligned","Mismatch"),"Not recorded")))</x:f>
        <x:v>Not applicable</x:v>
      </x:c>
      <x:c r="K53" s="24" t="str">
        <x:f>IF(OR(COUNTIFS(C53:J53,"Source missing")&gt;0,N53="Source missing"),"Source missing",IF(AND(COUNTIFS(C53:J53,"Aligned")+COUNTIFS(C53:J53,"Not applicable")+COUNTIFS(C53:J53,"Not required")=8,OR(N53="Aligned",N53="Not applicable")),"Aligned","Follow-up"))</x:f>
        <x:v>Aligned</x:v>
      </x:c>
      <x:c r="L53" s="28" t="str">
        <x:f>IF(COUNTIFS('Point requirements'!$A$7:$A$34,$A53)&lt;&gt;1,"Source missing",INDEX('Point requirements'!$K$7:$K$34,MATCH($A53,'Point requirements'!$A$7:$A$34,0)))</x:f>
        <x:v>F02</x:v>
      </x:c>
      <x:c r="M53" s="24" t="str">
        <x:f>IF(K53&lt;&gt;"Aligned","Review required",IF(INDEX('Point requirements'!$L$7:$L$34,MATCH($A53,'Point requirements'!$A$7:$A$34,0))&lt;&gt;"Confirmed","Review required",IF(L53="None","Reconciled",IF(COUNTIFS(Findings!$A$15:$A$18,L53)&lt;&gt;1,"Source missing",IF(INDEX(Findings!$F$15:$F$18,MATCH(L53,Findings!$A$15:$A$18,0))="Reconciled","Reconciled","Review required")))))</x:f>
        <x:v>Reconciled</x:v>
      </x:c>
      <x:c r="N53" s="24" t="str">
        <x:f>IF(C53="Source missing","Source missing",IF(INDEX('Point requirements'!$N$7:$N$34,MATCH($A53,'Point requirements'!$A$7:$A$34,0))="Not required","Not applicable",IF(INDEX('Config records'!$M$7:$M$62,MATCH("Recheck:"&amp;$A53,'Config records'!$A$7:$A$62,0))=INDEX('Point requirements'!$N$7:$N$34,MATCH($A53,'Point requirements'!$A$7:$A$34,0)),"Aligned","Mismatch")))</x:f>
        <x:v>Not applicable</x:v>
      </x:c>
    </x:row>
    <x:row r="54" ht="42" customHeight="1">
      <x:c r="A54" s="27" t="str">
        <x:v>P15</x:v>
      </x:c>
      <x:c r="B54" s="21" t="str">
        <x:f>IF(COUNTIFS('Point requirements'!$A$7:$A$34,$A54)&lt;&gt;1,"Source missing",INDEX('Point requirements'!$B$7:$B$34,MATCH($A54,'Point requirements'!$A$7:$A$34,0)))</x:f>
        <x:v>Freeze-protection active status</x:v>
      </x:c>
      <x:c r="C54" s="21" t="str">
        <x:f>IF(OR($A54="",COUNTIFS('Point requirements'!$A$7:$A$34,$A54)&lt;&gt;1,COUNTIFS('Config records'!$A$7:$A$62,"Recheck:"&amp;$A54)&lt;&gt;1,COUNTIFS($A$40:$A$67,$A54)&lt;&gt;1),"Source missing",IF(OR(INDEX('Point requirements'!$C$7:$C$34,MATCH($A54,'Point requirements'!$A$7:$A$34,0))="",INDEX('Point requirements'!$O$7:$O$34,MATCH($A54,'Point requirements'!$A$7:$A$34,0))="",INDEX('Config records'!$D$7:$D$62,MATCH("Recheck:"&amp;$A54,'Config records'!$A$7:$A$62,0))="",INDEX('Config records'!$N$7:$N$62,MATCH("Recheck:"&amp;$A54,'Config records'!$A$7:$A$62,0))=""),"Source missing",IF(AND(INDEX('Config records'!$D$7:$D$62,MATCH("Recheck:"&amp;$A54,'Config records'!$A$7:$A$62,0))=INDEX('Point requirements'!$C$7:$C$34,MATCH($A54,'Point requirements'!$A$7:$A$34,0)),INDEX('Config records'!$N$7:$N$62,MATCH("Recheck:"&amp;$A54,'Config records'!$A$7:$A$62,0))=INDEX('Point requirements'!$O$7:$O$34,MATCH($A54,'Point requirements'!$A$7:$A$34,0))),"Aligned","Mismatch")))</x:f>
        <x:v>Aligned</x:v>
      </x:c>
      <x:c r="D54" s="21" t="str">
        <x:f>IF(C54="Source missing","Source missing",IF(AND(INDEX('Point requirements'!$D$7:$D$34,MATCH($A54,'Point requirements'!$A$7:$A$34,0))&lt;&gt;"Yes",INDEX('Point requirements'!$D$7:$D$34,MATCH($A54,'Point requirements'!$A$7:$A$34,0))&lt;&gt;"No"),"Source missing",IF(INDEX('Point requirements'!$D$7:$D$34,MATCH($A54,'Point requirements'!$A$7:$A$34,0))="No","Not required",IF(INDEX('Config records'!$E$7:$E$62,MATCH("Recheck:"&amp;$A54,'Config records'!$A$7:$A$62,0))="Yes","Aligned","Missing display"))))</x:f>
        <x:v>Aligned</x:v>
      </x:c>
      <x:c r="E54" s="21" t="str">
        <x:f>IF(C54="Source missing","Source missing",IF(D54="Not required","Not applicable",IF(D54="Missing display","Not assessed",IF(INDEX('Config records'!$F$7:$F$62,MATCH("Recheck:"&amp;$A54,'Config records'!$A$7:$A$62,0))=INDEX('Point requirements'!$C$7:$C$34,MATCH($A54,'Point requirements'!$A$7:$A$34,0)),"Aligned","Mismatch"))))</x:f>
        <x:v>Aligned</x:v>
      </x:c>
      <x:c r="F54" s="21" t="str">
        <x:f>IF(C54="Source missing","Source missing",IF(D54="Not required","Not applicable",IF(D54="Missing display","Not assessed",IF(INDEX('Config records'!$G$7:$G$62,MATCH("Recheck:"&amp;$A54,'Config records'!$A$7:$A$62,0))=INDEX('Point requirements'!$E$7:$E$34,MATCH($A54,'Point requirements'!$A$7:$A$34,0)),"Aligned","Mismatch"))))</x:f>
        <x:v>Aligned</x:v>
      </x:c>
      <x:c r="G54" s="21" t="str">
        <x:f>IF(C54="Source missing","Source missing",IF(D54="Not required","Not applicable",IF(D54="Missing display","Not assessed",IF(INDEX('Config records'!$H$7:$H$62,MATCH("Recheck:"&amp;$A54,'Config records'!$A$7:$A$62,0))=INDEX('Point requirements'!$F$7:$F$34,MATCH($A54,'Point requirements'!$A$7:$A$34,0)),"Aligned","Mismatch"))))</x:f>
        <x:v>Aligned</x:v>
      </x:c>
      <x:c r="H54" s="21" t="str">
        <x:f>IF(C54="Source missing","Source missing",IF(D54="Not required","Not applicable",IF(D54="Missing display","Not assessed",IF(INDEX('Config records'!$I$7:$I$62,MATCH("Recheck:"&amp;$A54,'Config records'!$A$7:$A$62,0))=INDEX('Point requirements'!$G$7:$G$34,MATCH($A54,'Point requirements'!$A$7:$A$34,0)),"Aligned","Mismatch"))))</x:f>
        <x:v>Aligned</x:v>
      </x:c>
      <x:c r="I54" s="21" t="str">
        <x:f>IF(C54="Source missing","Source missing",IF(D54="Not required","Not applicable",IF(D54="Missing display","Not assessed",IF(INDEX('Config records'!$J$7:$J$62,MATCH("Recheck:"&amp;$A54,'Config records'!$A$7:$A$62,0))=INDEX('Point requirements'!$H$7:$H$34,MATCH($A54,'Point requirements'!$A$7:$A$34,0)),"Aligned","Mismatch"))))</x:f>
        <x:v>Aligned</x:v>
      </x:c>
      <x:c r="J54" s="21" t="str">
        <x:f>IF(C54="Source missing","Source missing",IF(INDEX('Point requirements'!$J$7:$J$34,MATCH($A54,'Point requirements'!$A$7:$A$34,0))="Not specified","Not applicable",IF(AND(ISNUMBER(INDEX('Point requirements'!$J$7:$J$34,MATCH($A54,'Point requirements'!$A$7:$A$34,0))),ISNUMBER(INDEX('Config records'!$K$7:$K$62,MATCH("Recheck:"&amp;$A54,'Config records'!$A$7:$A$62,0)))),IF(INDEX('Config records'!$K$7:$K$62,MATCH("Recheck:"&amp;$A54,'Config records'!$A$7:$A$62,0))=INDEX('Point requirements'!$J$7:$J$34,MATCH($A54,'Point requirements'!$A$7:$A$34,0)),"Aligned","Mismatch"),"Not recorded")))</x:f>
        <x:v>Not applicable</x:v>
      </x:c>
      <x:c r="K54" s="21" t="str">
        <x:f>IF(OR(COUNTIFS(C54:J54,"Source missing")&gt;0,N54="Source missing"),"Source missing",IF(AND(COUNTIFS(C54:J54,"Aligned")+COUNTIFS(C54:J54,"Not applicable")+COUNTIFS(C54:J54,"Not required")=8,OR(N54="Aligned",N54="Not applicable")),"Aligned","Follow-up"))</x:f>
        <x:v>Aligned</x:v>
      </x:c>
      <x:c r="L54" s="27" t="str">
        <x:f>IF(COUNTIFS('Point requirements'!$A$7:$A$34,$A54)&lt;&gt;1,"Source missing",INDEX('Point requirements'!$K$7:$K$34,MATCH($A54,'Point requirements'!$A$7:$A$34,0)))</x:f>
        <x:v>None</x:v>
      </x:c>
      <x:c r="M54" s="21" t="str">
        <x:f>IF(K54&lt;&gt;"Aligned","Review required",IF(INDEX('Point requirements'!$L$7:$L$34,MATCH($A54,'Point requirements'!$A$7:$A$34,0))&lt;&gt;"Confirmed","Review required",IF(L54="None","Reconciled",IF(COUNTIFS(Findings!$A$15:$A$18,L54)&lt;&gt;1,"Source missing",IF(INDEX(Findings!$F$15:$F$18,MATCH(L54,Findings!$A$15:$A$18,0))="Reconciled","Reconciled","Review required")))))</x:f>
        <x:v>Reconciled</x:v>
      </x:c>
      <x:c r="N54" s="21" t="str">
        <x:f>IF(C54="Source missing","Source missing",IF(INDEX('Point requirements'!$N$7:$N$34,MATCH($A54,'Point requirements'!$A$7:$A$34,0))="Not required","Not applicable",IF(INDEX('Config records'!$M$7:$M$62,MATCH("Recheck:"&amp;$A54,'Config records'!$A$7:$A$62,0))=INDEX('Point requirements'!$N$7:$N$34,MATCH($A54,'Point requirements'!$A$7:$A$34,0)),"Aligned","Mismatch")))</x:f>
        <x:v>Not applicable</x:v>
      </x:c>
    </x:row>
    <x:row r="55" ht="42" customHeight="1">
      <x:c r="A55" s="28" t="str">
        <x:v>P16</x:v>
      </x:c>
      <x:c r="B55" s="24" t="str">
        <x:f>IF(COUNTIFS('Point requirements'!$A$7:$A$34,$A55)&lt;&gt;1,"Source missing",INDEX('Point requirements'!$B$7:$B$34,MATCH($A55,'Point requirements'!$A$7:$A$34,0)))</x:f>
        <x:v>Heating/cooling state</x:v>
      </x:c>
      <x:c r="C55" s="24" t="str">
        <x:f>IF(OR($A55="",COUNTIFS('Point requirements'!$A$7:$A$34,$A55)&lt;&gt;1,COUNTIFS('Config records'!$A$7:$A$62,"Recheck:"&amp;$A55)&lt;&gt;1,COUNTIFS($A$40:$A$67,$A55)&lt;&gt;1),"Source missing",IF(OR(INDEX('Point requirements'!$C$7:$C$34,MATCH($A55,'Point requirements'!$A$7:$A$34,0))="",INDEX('Point requirements'!$O$7:$O$34,MATCH($A55,'Point requirements'!$A$7:$A$34,0))="",INDEX('Config records'!$D$7:$D$62,MATCH("Recheck:"&amp;$A55,'Config records'!$A$7:$A$62,0))="",INDEX('Config records'!$N$7:$N$62,MATCH("Recheck:"&amp;$A55,'Config records'!$A$7:$A$62,0))=""),"Source missing",IF(AND(INDEX('Config records'!$D$7:$D$62,MATCH("Recheck:"&amp;$A55,'Config records'!$A$7:$A$62,0))=INDEX('Point requirements'!$C$7:$C$34,MATCH($A55,'Point requirements'!$A$7:$A$34,0)),INDEX('Config records'!$N$7:$N$62,MATCH("Recheck:"&amp;$A55,'Config records'!$A$7:$A$62,0))=INDEX('Point requirements'!$O$7:$O$34,MATCH($A55,'Point requirements'!$A$7:$A$34,0))),"Aligned","Mismatch")))</x:f>
        <x:v>Aligned</x:v>
      </x:c>
      <x:c r="D55" s="24" t="str">
        <x:f>IF(C55="Source missing","Source missing",IF(AND(INDEX('Point requirements'!$D$7:$D$34,MATCH($A55,'Point requirements'!$A$7:$A$34,0))&lt;&gt;"Yes",INDEX('Point requirements'!$D$7:$D$34,MATCH($A55,'Point requirements'!$A$7:$A$34,0))&lt;&gt;"No"),"Source missing",IF(INDEX('Point requirements'!$D$7:$D$34,MATCH($A55,'Point requirements'!$A$7:$A$34,0))="No","Not required",IF(INDEX('Config records'!$E$7:$E$62,MATCH("Recheck:"&amp;$A55,'Config records'!$A$7:$A$62,0))="Yes","Aligned","Missing display"))))</x:f>
        <x:v>Aligned</x:v>
      </x:c>
      <x:c r="E55" s="24" t="str">
        <x:f>IF(C55="Source missing","Source missing",IF(D55="Not required","Not applicable",IF(D55="Missing display","Not assessed",IF(INDEX('Config records'!$F$7:$F$62,MATCH("Recheck:"&amp;$A55,'Config records'!$A$7:$A$62,0))=INDEX('Point requirements'!$C$7:$C$34,MATCH($A55,'Point requirements'!$A$7:$A$34,0)),"Aligned","Mismatch"))))</x:f>
        <x:v>Aligned</x:v>
      </x:c>
      <x:c r="F55" s="24" t="str">
        <x:f>IF(C55="Source missing","Source missing",IF(D55="Not required","Not applicable",IF(D55="Missing display","Not assessed",IF(INDEX('Config records'!$G$7:$G$62,MATCH("Recheck:"&amp;$A55,'Config records'!$A$7:$A$62,0))=INDEX('Point requirements'!$E$7:$E$34,MATCH($A55,'Point requirements'!$A$7:$A$34,0)),"Aligned","Mismatch"))))</x:f>
        <x:v>Aligned</x:v>
      </x:c>
      <x:c r="G55" s="24" t="str">
        <x:f>IF(C55="Source missing","Source missing",IF(D55="Not required","Not applicable",IF(D55="Missing display","Not assessed",IF(INDEX('Config records'!$H$7:$H$62,MATCH("Recheck:"&amp;$A55,'Config records'!$A$7:$A$62,0))=INDEX('Point requirements'!$F$7:$F$34,MATCH($A55,'Point requirements'!$A$7:$A$34,0)),"Aligned","Mismatch"))))</x:f>
        <x:v>Aligned</x:v>
      </x:c>
      <x:c r="H55" s="24" t="str">
        <x:f>IF(C55="Source missing","Source missing",IF(D55="Not required","Not applicable",IF(D55="Missing display","Not assessed",IF(INDEX('Config records'!$I$7:$I$62,MATCH("Recheck:"&amp;$A55,'Config records'!$A$7:$A$62,0))=INDEX('Point requirements'!$G$7:$G$34,MATCH($A55,'Point requirements'!$A$7:$A$34,0)),"Aligned","Mismatch"))))</x:f>
        <x:v>Aligned</x:v>
      </x:c>
      <x:c r="I55" s="24" t="str">
        <x:f>IF(C55="Source missing","Source missing",IF(D55="Not required","Not applicable",IF(D55="Missing display","Not assessed",IF(INDEX('Config records'!$J$7:$J$62,MATCH("Recheck:"&amp;$A55,'Config records'!$A$7:$A$62,0))=INDEX('Point requirements'!$H$7:$H$34,MATCH($A55,'Point requirements'!$A$7:$A$34,0)),"Aligned","Mismatch"))))</x:f>
        <x:v>Aligned</x:v>
      </x:c>
      <x:c r="J55" s="24" t="str">
        <x:f>IF(C55="Source missing","Source missing",IF(INDEX('Point requirements'!$J$7:$J$34,MATCH($A55,'Point requirements'!$A$7:$A$34,0))="Not specified","Not applicable",IF(AND(ISNUMBER(INDEX('Point requirements'!$J$7:$J$34,MATCH($A55,'Point requirements'!$A$7:$A$34,0))),ISNUMBER(INDEX('Config records'!$K$7:$K$62,MATCH("Recheck:"&amp;$A55,'Config records'!$A$7:$A$62,0)))),IF(INDEX('Config records'!$K$7:$K$62,MATCH("Recheck:"&amp;$A55,'Config records'!$A$7:$A$62,0))=INDEX('Point requirements'!$J$7:$J$34,MATCH($A55,'Point requirements'!$A$7:$A$34,0)),"Aligned","Mismatch"),"Not recorded")))</x:f>
        <x:v>Not applicable</x:v>
      </x:c>
      <x:c r="K55" s="24" t="str">
        <x:f>IF(OR(COUNTIFS(C55:J55,"Source missing")&gt;0,N55="Source missing"),"Source missing",IF(AND(COUNTIFS(C55:J55,"Aligned")+COUNTIFS(C55:J55,"Not applicable")+COUNTIFS(C55:J55,"Not required")=8,OR(N55="Aligned",N55="Not applicable")),"Aligned","Follow-up"))</x:f>
        <x:v>Aligned</x:v>
      </x:c>
      <x:c r="L55" s="28" t="str">
        <x:f>IF(COUNTIFS('Point requirements'!$A$7:$A$34,$A55)&lt;&gt;1,"Source missing",INDEX('Point requirements'!$K$7:$K$34,MATCH($A55,'Point requirements'!$A$7:$A$34,0)))</x:f>
        <x:v>None</x:v>
      </x:c>
      <x:c r="M55" s="24" t="str">
        <x:f>IF(K55&lt;&gt;"Aligned","Review required",IF(INDEX('Point requirements'!$L$7:$L$34,MATCH($A55,'Point requirements'!$A$7:$A$34,0))&lt;&gt;"Confirmed","Review required",IF(L55="None","Reconciled",IF(COUNTIFS(Findings!$A$15:$A$18,L55)&lt;&gt;1,"Source missing",IF(INDEX(Findings!$F$15:$F$18,MATCH(L55,Findings!$A$15:$A$18,0))="Reconciled","Reconciled","Review required")))))</x:f>
        <x:v>Reconciled</x:v>
      </x:c>
      <x:c r="N55" s="24" t="str">
        <x:f>IF(C55="Source missing","Source missing",IF(INDEX('Point requirements'!$N$7:$N$34,MATCH($A55,'Point requirements'!$A$7:$A$34,0))="Not required","Not applicable",IF(INDEX('Config records'!$M$7:$M$62,MATCH("Recheck:"&amp;$A55,'Config records'!$A$7:$A$62,0))=INDEX('Point requirements'!$N$7:$N$34,MATCH($A55,'Point requirements'!$A$7:$A$34,0)),"Aligned","Mismatch")))</x:f>
        <x:v>Not applicable</x:v>
      </x:c>
    </x:row>
    <x:row r="56" ht="42" customHeight="1">
      <x:c r="A56" s="27" t="str">
        <x:v>P17</x:v>
      </x:c>
      <x:c r="B56" s="21" t="str">
        <x:f>IF(COUNTIFS('Point requirements'!$A$7:$A$34,$A56)&lt;&gt;1,"Source missing",INDEX('Point requirements'!$B$7:$B$34,MATCH($A56,'Point requirements'!$A$7:$A$34,0)))</x:f>
        <x:v>Return-air temperature</x:v>
      </x:c>
      <x:c r="C56" s="21" t="str">
        <x:f>IF(OR($A56="",COUNTIFS('Point requirements'!$A$7:$A$34,$A56)&lt;&gt;1,COUNTIFS('Config records'!$A$7:$A$62,"Recheck:"&amp;$A56)&lt;&gt;1,COUNTIFS($A$40:$A$67,$A56)&lt;&gt;1),"Source missing",IF(OR(INDEX('Point requirements'!$C$7:$C$34,MATCH($A56,'Point requirements'!$A$7:$A$34,0))="",INDEX('Point requirements'!$O$7:$O$34,MATCH($A56,'Point requirements'!$A$7:$A$34,0))="",INDEX('Config records'!$D$7:$D$62,MATCH("Recheck:"&amp;$A56,'Config records'!$A$7:$A$62,0))="",INDEX('Config records'!$N$7:$N$62,MATCH("Recheck:"&amp;$A56,'Config records'!$A$7:$A$62,0))=""),"Source missing",IF(AND(INDEX('Config records'!$D$7:$D$62,MATCH("Recheck:"&amp;$A56,'Config records'!$A$7:$A$62,0))=INDEX('Point requirements'!$C$7:$C$34,MATCH($A56,'Point requirements'!$A$7:$A$34,0)),INDEX('Config records'!$N$7:$N$62,MATCH("Recheck:"&amp;$A56,'Config records'!$A$7:$A$62,0))=INDEX('Point requirements'!$O$7:$O$34,MATCH($A56,'Point requirements'!$A$7:$A$34,0))),"Aligned","Mismatch")))</x:f>
        <x:v>Aligned</x:v>
      </x:c>
      <x:c r="D56" s="21" t="str">
        <x:f>IF(C56="Source missing","Source missing",IF(AND(INDEX('Point requirements'!$D$7:$D$34,MATCH($A56,'Point requirements'!$A$7:$A$34,0))&lt;&gt;"Yes",INDEX('Point requirements'!$D$7:$D$34,MATCH($A56,'Point requirements'!$A$7:$A$34,0))&lt;&gt;"No"),"Source missing",IF(INDEX('Point requirements'!$D$7:$D$34,MATCH($A56,'Point requirements'!$A$7:$A$34,0))="No","Not required",IF(INDEX('Config records'!$E$7:$E$62,MATCH("Recheck:"&amp;$A56,'Config records'!$A$7:$A$62,0))="Yes","Aligned","Missing display"))))</x:f>
        <x:v>Aligned</x:v>
      </x:c>
      <x:c r="E56" s="21" t="str">
        <x:f>IF(C56="Source missing","Source missing",IF(D56="Not required","Not applicable",IF(D56="Missing display","Not assessed",IF(INDEX('Config records'!$F$7:$F$62,MATCH("Recheck:"&amp;$A56,'Config records'!$A$7:$A$62,0))=INDEX('Point requirements'!$C$7:$C$34,MATCH($A56,'Point requirements'!$A$7:$A$34,0)),"Aligned","Mismatch"))))</x:f>
        <x:v>Aligned</x:v>
      </x:c>
      <x:c r="F56" s="21" t="str">
        <x:f>IF(C56="Source missing","Source missing",IF(D56="Not required","Not applicable",IF(D56="Missing display","Not assessed",IF(INDEX('Config records'!$G$7:$G$62,MATCH("Recheck:"&amp;$A56,'Config records'!$A$7:$A$62,0))=INDEX('Point requirements'!$E$7:$E$34,MATCH($A56,'Point requirements'!$A$7:$A$34,0)),"Aligned","Mismatch"))))</x:f>
        <x:v>Aligned</x:v>
      </x:c>
      <x:c r="G56" s="21" t="str">
        <x:f>IF(C56="Source missing","Source missing",IF(D56="Not required","Not applicable",IF(D56="Missing display","Not assessed",IF(INDEX('Config records'!$H$7:$H$62,MATCH("Recheck:"&amp;$A56,'Config records'!$A$7:$A$62,0))=INDEX('Point requirements'!$F$7:$F$34,MATCH($A56,'Point requirements'!$A$7:$A$34,0)),"Aligned","Mismatch"))))</x:f>
        <x:v>Aligned</x:v>
      </x:c>
      <x:c r="H56" s="21" t="str">
        <x:f>IF(C56="Source missing","Source missing",IF(D56="Not required","Not applicable",IF(D56="Missing display","Not assessed",IF(INDEX('Config records'!$I$7:$I$62,MATCH("Recheck:"&amp;$A56,'Config records'!$A$7:$A$62,0))=INDEX('Point requirements'!$G$7:$G$34,MATCH($A56,'Point requirements'!$A$7:$A$34,0)),"Aligned","Mismatch"))))</x:f>
        <x:v>Aligned</x:v>
      </x:c>
      <x:c r="I56" s="21" t="str">
        <x:f>IF(C56="Source missing","Source missing",IF(D56="Not required","Not applicable",IF(D56="Missing display","Not assessed",IF(INDEX('Config records'!$J$7:$J$62,MATCH("Recheck:"&amp;$A56,'Config records'!$A$7:$A$62,0))=INDEX('Point requirements'!$H$7:$H$34,MATCH($A56,'Point requirements'!$A$7:$A$34,0)),"Aligned","Mismatch"))))</x:f>
        <x:v>Aligned</x:v>
      </x:c>
      <x:c r="J56" s="21" t="str">
        <x:f>IF(C56="Source missing","Source missing",IF(INDEX('Point requirements'!$J$7:$J$34,MATCH($A56,'Point requirements'!$A$7:$A$34,0))="Not specified","Not applicable",IF(AND(ISNUMBER(INDEX('Point requirements'!$J$7:$J$34,MATCH($A56,'Point requirements'!$A$7:$A$34,0))),ISNUMBER(INDEX('Config records'!$K$7:$K$62,MATCH("Recheck:"&amp;$A56,'Config records'!$A$7:$A$62,0)))),IF(INDEX('Config records'!$K$7:$K$62,MATCH("Recheck:"&amp;$A56,'Config records'!$A$7:$A$62,0))=INDEX('Point requirements'!$J$7:$J$34,MATCH($A56,'Point requirements'!$A$7:$A$34,0)),"Aligned","Mismatch"),"Not recorded")))</x:f>
        <x:v>Not applicable</x:v>
      </x:c>
      <x:c r="K56" s="21" t="str">
        <x:f>IF(OR(COUNTIFS(C56:J56,"Source missing")&gt;0,N56="Source missing"),"Source missing",IF(AND(COUNTIFS(C56:J56,"Aligned")+COUNTIFS(C56:J56,"Not applicable")+COUNTIFS(C56:J56,"Not required")=8,OR(N56="Aligned",N56="Not applicable")),"Aligned","Follow-up"))</x:f>
        <x:v>Aligned</x:v>
      </x:c>
      <x:c r="L56" s="27" t="str">
        <x:f>IF(COUNTIFS('Point requirements'!$A$7:$A$34,$A56)&lt;&gt;1,"Source missing",INDEX('Point requirements'!$K$7:$K$34,MATCH($A56,'Point requirements'!$A$7:$A$34,0)))</x:f>
        <x:v>None</x:v>
      </x:c>
      <x:c r="M56" s="21" t="str">
        <x:f>IF(K56&lt;&gt;"Aligned","Review required",IF(INDEX('Point requirements'!$L$7:$L$34,MATCH($A56,'Point requirements'!$A$7:$A$34,0))&lt;&gt;"Confirmed","Review required",IF(L56="None","Reconciled",IF(COUNTIFS(Findings!$A$15:$A$18,L56)&lt;&gt;1,"Source missing",IF(INDEX(Findings!$F$15:$F$18,MATCH(L56,Findings!$A$15:$A$18,0))="Reconciled","Reconciled","Review required")))))</x:f>
        <x:v>Reconciled</x:v>
      </x:c>
      <x:c r="N56" s="21" t="str">
        <x:f>IF(C56="Source missing","Source missing",IF(INDEX('Point requirements'!$N$7:$N$34,MATCH($A56,'Point requirements'!$A$7:$A$34,0))="Not required","Not applicable",IF(INDEX('Config records'!$M$7:$M$62,MATCH("Recheck:"&amp;$A56,'Config records'!$A$7:$A$62,0))=INDEX('Point requirements'!$N$7:$N$34,MATCH($A56,'Point requirements'!$A$7:$A$34,0)),"Aligned","Mismatch")))</x:f>
        <x:v>Not applicable</x:v>
      </x:c>
    </x:row>
    <x:row r="57" ht="42" customHeight="1">
      <x:c r="A57" s="28" t="str">
        <x:v>P18</x:v>
      </x:c>
      <x:c r="B57" s="24" t="str">
        <x:f>IF(COUNTIFS('Point requirements'!$A$7:$A$34,$A57)&lt;&gt;1,"Source missing",INDEX('Point requirements'!$B$7:$B$34,MATCH($A57,'Point requirements'!$A$7:$A$34,0)))</x:f>
        <x:v>Outdoor-air damper command</x:v>
      </x:c>
      <x:c r="C57" s="24" t="str">
        <x:f>IF(OR($A57="",COUNTIFS('Point requirements'!$A$7:$A$34,$A57)&lt;&gt;1,COUNTIFS('Config records'!$A$7:$A$62,"Recheck:"&amp;$A57)&lt;&gt;1,COUNTIFS($A$40:$A$67,$A57)&lt;&gt;1),"Source missing",IF(OR(INDEX('Point requirements'!$C$7:$C$34,MATCH($A57,'Point requirements'!$A$7:$A$34,0))="",INDEX('Point requirements'!$O$7:$O$34,MATCH($A57,'Point requirements'!$A$7:$A$34,0))="",INDEX('Config records'!$D$7:$D$62,MATCH("Recheck:"&amp;$A57,'Config records'!$A$7:$A$62,0))="",INDEX('Config records'!$N$7:$N$62,MATCH("Recheck:"&amp;$A57,'Config records'!$A$7:$A$62,0))=""),"Source missing",IF(AND(INDEX('Config records'!$D$7:$D$62,MATCH("Recheck:"&amp;$A57,'Config records'!$A$7:$A$62,0))=INDEX('Point requirements'!$C$7:$C$34,MATCH($A57,'Point requirements'!$A$7:$A$34,0)),INDEX('Config records'!$N$7:$N$62,MATCH("Recheck:"&amp;$A57,'Config records'!$A$7:$A$62,0))=INDEX('Point requirements'!$O$7:$O$34,MATCH($A57,'Point requirements'!$A$7:$A$34,0))),"Aligned","Mismatch")))</x:f>
        <x:v>Aligned</x:v>
      </x:c>
      <x:c r="D57" s="24" t="str">
        <x:f>IF(C57="Source missing","Source missing",IF(AND(INDEX('Point requirements'!$D$7:$D$34,MATCH($A57,'Point requirements'!$A$7:$A$34,0))&lt;&gt;"Yes",INDEX('Point requirements'!$D$7:$D$34,MATCH($A57,'Point requirements'!$A$7:$A$34,0))&lt;&gt;"No"),"Source missing",IF(INDEX('Point requirements'!$D$7:$D$34,MATCH($A57,'Point requirements'!$A$7:$A$34,0))="No","Not required",IF(INDEX('Config records'!$E$7:$E$62,MATCH("Recheck:"&amp;$A57,'Config records'!$A$7:$A$62,0))="Yes","Aligned","Missing display"))))</x:f>
        <x:v>Aligned</x:v>
      </x:c>
      <x:c r="E57" s="24" t="str">
        <x:f>IF(C57="Source missing","Source missing",IF(D57="Not required","Not applicable",IF(D57="Missing display","Not assessed",IF(INDEX('Config records'!$F$7:$F$62,MATCH("Recheck:"&amp;$A57,'Config records'!$A$7:$A$62,0))=INDEX('Point requirements'!$C$7:$C$34,MATCH($A57,'Point requirements'!$A$7:$A$34,0)),"Aligned","Mismatch"))))</x:f>
        <x:v>Aligned</x:v>
      </x:c>
      <x:c r="F57" s="24" t="str">
        <x:f>IF(C57="Source missing","Source missing",IF(D57="Not required","Not applicable",IF(D57="Missing display","Not assessed",IF(INDEX('Config records'!$G$7:$G$62,MATCH("Recheck:"&amp;$A57,'Config records'!$A$7:$A$62,0))=INDEX('Point requirements'!$E$7:$E$34,MATCH($A57,'Point requirements'!$A$7:$A$34,0)),"Aligned","Mismatch"))))</x:f>
        <x:v>Aligned</x:v>
      </x:c>
      <x:c r="G57" s="24" t="str">
        <x:f>IF(C57="Source missing","Source missing",IF(D57="Not required","Not applicable",IF(D57="Missing display","Not assessed",IF(INDEX('Config records'!$H$7:$H$62,MATCH("Recheck:"&amp;$A57,'Config records'!$A$7:$A$62,0))=INDEX('Point requirements'!$F$7:$F$34,MATCH($A57,'Point requirements'!$A$7:$A$34,0)),"Aligned","Mismatch"))))</x:f>
        <x:v>Aligned</x:v>
      </x:c>
      <x:c r="H57" s="24" t="str">
        <x:f>IF(C57="Source missing","Source missing",IF(D57="Not required","Not applicable",IF(D57="Missing display","Not assessed",IF(INDEX('Config records'!$I$7:$I$62,MATCH("Recheck:"&amp;$A57,'Config records'!$A$7:$A$62,0))=INDEX('Point requirements'!$G$7:$G$34,MATCH($A57,'Point requirements'!$A$7:$A$34,0)),"Aligned","Mismatch"))))</x:f>
        <x:v>Aligned</x:v>
      </x:c>
      <x:c r="I57" s="24" t="str">
        <x:f>IF(C57="Source missing","Source missing",IF(D57="Not required","Not applicable",IF(D57="Missing display","Not assessed",IF(INDEX('Config records'!$J$7:$J$62,MATCH("Recheck:"&amp;$A57,'Config records'!$A$7:$A$62,0))=INDEX('Point requirements'!$H$7:$H$34,MATCH($A57,'Point requirements'!$A$7:$A$34,0)),"Aligned","Mismatch"))))</x:f>
        <x:v>Aligned</x:v>
      </x:c>
      <x:c r="J57" s="24" t="str">
        <x:f>IF(C57="Source missing","Source missing",IF(INDEX('Point requirements'!$J$7:$J$34,MATCH($A57,'Point requirements'!$A$7:$A$34,0))="Not specified","Not applicable",IF(AND(ISNUMBER(INDEX('Point requirements'!$J$7:$J$34,MATCH($A57,'Point requirements'!$A$7:$A$34,0))),ISNUMBER(INDEX('Config records'!$K$7:$K$62,MATCH("Recheck:"&amp;$A57,'Config records'!$A$7:$A$62,0)))),IF(INDEX('Config records'!$K$7:$K$62,MATCH("Recheck:"&amp;$A57,'Config records'!$A$7:$A$62,0))=INDEX('Point requirements'!$J$7:$J$34,MATCH($A57,'Point requirements'!$A$7:$A$34,0)),"Aligned","Mismatch"),"Not recorded")))</x:f>
        <x:v>Not applicable</x:v>
      </x:c>
      <x:c r="K57" s="24" t="str">
        <x:f>IF(OR(COUNTIFS(C57:J57,"Source missing")&gt;0,N57="Source missing"),"Source missing",IF(AND(COUNTIFS(C57:J57,"Aligned")+COUNTIFS(C57:J57,"Not applicable")+COUNTIFS(C57:J57,"Not required")=8,OR(N57="Aligned",N57="Not applicable")),"Aligned","Follow-up"))</x:f>
        <x:v>Aligned</x:v>
      </x:c>
      <x:c r="L57" s="28" t="str">
        <x:f>IF(COUNTIFS('Point requirements'!$A$7:$A$34,$A57)&lt;&gt;1,"Source missing",INDEX('Point requirements'!$K$7:$K$34,MATCH($A57,'Point requirements'!$A$7:$A$34,0)))</x:f>
        <x:v>None</x:v>
      </x:c>
      <x:c r="M57" s="24" t="str">
        <x:f>IF(K57&lt;&gt;"Aligned","Review required",IF(INDEX('Point requirements'!$L$7:$L$34,MATCH($A57,'Point requirements'!$A$7:$A$34,0))&lt;&gt;"Confirmed","Review required",IF(L57="None","Reconciled",IF(COUNTIFS(Findings!$A$15:$A$18,L57)&lt;&gt;1,"Source missing",IF(INDEX(Findings!$F$15:$F$18,MATCH(L57,Findings!$A$15:$A$18,0))="Reconciled","Reconciled","Review required")))))</x:f>
        <x:v>Reconciled</x:v>
      </x:c>
      <x:c r="N57" s="24" t="str">
        <x:f>IF(C57="Source missing","Source missing",IF(INDEX('Point requirements'!$N$7:$N$34,MATCH($A57,'Point requirements'!$A$7:$A$34,0))="Not required","Not applicable",IF(INDEX('Config records'!$M$7:$M$62,MATCH("Recheck:"&amp;$A57,'Config records'!$A$7:$A$62,0))=INDEX('Point requirements'!$N$7:$N$34,MATCH($A57,'Point requirements'!$A$7:$A$34,0)),"Aligned","Mismatch")))</x:f>
        <x:v>Not applicable</x:v>
      </x:c>
    </x:row>
    <x:row r="58" ht="42" customHeight="1">
      <x:c r="A58" s="27" t="str">
        <x:v>P19</x:v>
      </x:c>
      <x:c r="B58" s="21" t="str">
        <x:f>IF(COUNTIFS('Point requirements'!$A$7:$A$34,$A58)&lt;&gt;1,"Source missing",INDEX('Point requirements'!$B$7:$B$34,MATCH($A58,'Point requirements'!$A$7:$A$34,0)))</x:f>
        <x:v>Exhaust-air damper command</x:v>
      </x:c>
      <x:c r="C58" s="21" t="str">
        <x:f>IF(OR($A58="",COUNTIFS('Point requirements'!$A$7:$A$34,$A58)&lt;&gt;1,COUNTIFS('Config records'!$A$7:$A$62,"Recheck:"&amp;$A58)&lt;&gt;1,COUNTIFS($A$40:$A$67,$A58)&lt;&gt;1),"Source missing",IF(OR(INDEX('Point requirements'!$C$7:$C$34,MATCH($A58,'Point requirements'!$A$7:$A$34,0))="",INDEX('Point requirements'!$O$7:$O$34,MATCH($A58,'Point requirements'!$A$7:$A$34,0))="",INDEX('Config records'!$D$7:$D$62,MATCH("Recheck:"&amp;$A58,'Config records'!$A$7:$A$62,0))="",INDEX('Config records'!$N$7:$N$62,MATCH("Recheck:"&amp;$A58,'Config records'!$A$7:$A$62,0))=""),"Source missing",IF(AND(INDEX('Config records'!$D$7:$D$62,MATCH("Recheck:"&amp;$A58,'Config records'!$A$7:$A$62,0))=INDEX('Point requirements'!$C$7:$C$34,MATCH($A58,'Point requirements'!$A$7:$A$34,0)),INDEX('Config records'!$N$7:$N$62,MATCH("Recheck:"&amp;$A58,'Config records'!$A$7:$A$62,0))=INDEX('Point requirements'!$O$7:$O$34,MATCH($A58,'Point requirements'!$A$7:$A$34,0))),"Aligned","Mismatch")))</x:f>
        <x:v>Aligned</x:v>
      </x:c>
      <x:c r="D58" s="21" t="str">
        <x:f>IF(C58="Source missing","Source missing",IF(AND(INDEX('Point requirements'!$D$7:$D$34,MATCH($A58,'Point requirements'!$A$7:$A$34,0))&lt;&gt;"Yes",INDEX('Point requirements'!$D$7:$D$34,MATCH($A58,'Point requirements'!$A$7:$A$34,0))&lt;&gt;"No"),"Source missing",IF(INDEX('Point requirements'!$D$7:$D$34,MATCH($A58,'Point requirements'!$A$7:$A$34,0))="No","Not required",IF(INDEX('Config records'!$E$7:$E$62,MATCH("Recheck:"&amp;$A58,'Config records'!$A$7:$A$62,0))="Yes","Aligned","Missing display"))))</x:f>
        <x:v>Aligned</x:v>
      </x:c>
      <x:c r="E58" s="21" t="str">
        <x:f>IF(C58="Source missing","Source missing",IF(D58="Not required","Not applicable",IF(D58="Missing display","Not assessed",IF(INDEX('Config records'!$F$7:$F$62,MATCH("Recheck:"&amp;$A58,'Config records'!$A$7:$A$62,0))=INDEX('Point requirements'!$C$7:$C$34,MATCH($A58,'Point requirements'!$A$7:$A$34,0)),"Aligned","Mismatch"))))</x:f>
        <x:v>Aligned</x:v>
      </x:c>
      <x:c r="F58" s="21" t="str">
        <x:f>IF(C58="Source missing","Source missing",IF(D58="Not required","Not applicable",IF(D58="Missing display","Not assessed",IF(INDEX('Config records'!$G$7:$G$62,MATCH("Recheck:"&amp;$A58,'Config records'!$A$7:$A$62,0))=INDEX('Point requirements'!$E$7:$E$34,MATCH($A58,'Point requirements'!$A$7:$A$34,0)),"Aligned","Mismatch"))))</x:f>
        <x:v>Aligned</x:v>
      </x:c>
      <x:c r="G58" s="21" t="str">
        <x:f>IF(C58="Source missing","Source missing",IF(D58="Not required","Not applicable",IF(D58="Missing display","Not assessed",IF(INDEX('Config records'!$H$7:$H$62,MATCH("Recheck:"&amp;$A58,'Config records'!$A$7:$A$62,0))=INDEX('Point requirements'!$F$7:$F$34,MATCH($A58,'Point requirements'!$A$7:$A$34,0)),"Aligned","Mismatch"))))</x:f>
        <x:v>Aligned</x:v>
      </x:c>
      <x:c r="H58" s="21" t="str">
        <x:f>IF(C58="Source missing","Source missing",IF(D58="Not required","Not applicable",IF(D58="Missing display","Not assessed",IF(INDEX('Config records'!$I$7:$I$62,MATCH("Recheck:"&amp;$A58,'Config records'!$A$7:$A$62,0))=INDEX('Point requirements'!$G$7:$G$34,MATCH($A58,'Point requirements'!$A$7:$A$34,0)),"Aligned","Mismatch"))))</x:f>
        <x:v>Aligned</x:v>
      </x:c>
      <x:c r="I58" s="21" t="str">
        <x:f>IF(C58="Source missing","Source missing",IF(D58="Not required","Not applicable",IF(D58="Missing display","Not assessed",IF(INDEX('Config records'!$J$7:$J$62,MATCH("Recheck:"&amp;$A58,'Config records'!$A$7:$A$62,0))=INDEX('Point requirements'!$H$7:$H$34,MATCH($A58,'Point requirements'!$A$7:$A$34,0)),"Aligned","Mismatch"))))</x:f>
        <x:v>Aligned</x:v>
      </x:c>
      <x:c r="J58" s="21" t="str">
        <x:f>IF(C58="Source missing","Source missing",IF(INDEX('Point requirements'!$J$7:$J$34,MATCH($A58,'Point requirements'!$A$7:$A$34,0))="Not specified","Not applicable",IF(AND(ISNUMBER(INDEX('Point requirements'!$J$7:$J$34,MATCH($A58,'Point requirements'!$A$7:$A$34,0))),ISNUMBER(INDEX('Config records'!$K$7:$K$62,MATCH("Recheck:"&amp;$A58,'Config records'!$A$7:$A$62,0)))),IF(INDEX('Config records'!$K$7:$K$62,MATCH("Recheck:"&amp;$A58,'Config records'!$A$7:$A$62,0))=INDEX('Point requirements'!$J$7:$J$34,MATCH($A58,'Point requirements'!$A$7:$A$34,0)),"Aligned","Mismatch"),"Not recorded")))</x:f>
        <x:v>Not applicable</x:v>
      </x:c>
      <x:c r="K58" s="21" t="str">
        <x:f>IF(OR(COUNTIFS(C58:J58,"Source missing")&gt;0,N58="Source missing"),"Source missing",IF(AND(COUNTIFS(C58:J58,"Aligned")+COUNTIFS(C58:J58,"Not applicable")+COUNTIFS(C58:J58,"Not required")=8,OR(N58="Aligned",N58="Not applicable")),"Aligned","Follow-up"))</x:f>
        <x:v>Aligned</x:v>
      </x:c>
      <x:c r="L58" s="27" t="str">
        <x:f>IF(COUNTIFS('Point requirements'!$A$7:$A$34,$A58)&lt;&gt;1,"Source missing",INDEX('Point requirements'!$K$7:$K$34,MATCH($A58,'Point requirements'!$A$7:$A$34,0)))</x:f>
        <x:v>None</x:v>
      </x:c>
      <x:c r="M58" s="21" t="str">
        <x:f>IF(K58&lt;&gt;"Aligned","Review required",IF(INDEX('Point requirements'!$L$7:$L$34,MATCH($A58,'Point requirements'!$A$7:$A$34,0))&lt;&gt;"Confirmed","Review required",IF(L58="None","Reconciled",IF(COUNTIFS(Findings!$A$15:$A$18,L58)&lt;&gt;1,"Source missing",IF(INDEX(Findings!$F$15:$F$18,MATCH(L58,Findings!$A$15:$A$18,0))="Reconciled","Reconciled","Review required")))))</x:f>
        <x:v>Reconciled</x:v>
      </x:c>
      <x:c r="N58" s="21" t="str">
        <x:f>IF(C58="Source missing","Source missing",IF(INDEX('Point requirements'!$N$7:$N$34,MATCH($A58,'Point requirements'!$A$7:$A$34,0))="Not required","Not applicable",IF(INDEX('Config records'!$M$7:$M$62,MATCH("Recheck:"&amp;$A58,'Config records'!$A$7:$A$62,0))=INDEX('Point requirements'!$N$7:$N$34,MATCH($A58,'Point requirements'!$A$7:$A$34,0)),"Aligned","Mismatch")))</x:f>
        <x:v>Not applicable</x:v>
      </x:c>
    </x:row>
    <x:row r="59" ht="42" customHeight="1">
      <x:c r="A59" s="28" t="str">
        <x:v>P20</x:v>
      </x:c>
      <x:c r="B59" s="24" t="str">
        <x:f>IF(COUNTIFS('Point requirements'!$A$7:$A$34,$A59)&lt;&gt;1,"Source missing",INDEX('Point requirements'!$B$7:$B$34,MATCH($A59,'Point requirements'!$A$7:$A$34,0)))</x:f>
        <x:v>Return-air damper command</x:v>
      </x:c>
      <x:c r="C59" s="24" t="str">
        <x:f>IF(OR($A59="",COUNTIFS('Point requirements'!$A$7:$A$34,$A59)&lt;&gt;1,COUNTIFS('Config records'!$A$7:$A$62,"Recheck:"&amp;$A59)&lt;&gt;1,COUNTIFS($A$40:$A$67,$A59)&lt;&gt;1),"Source missing",IF(OR(INDEX('Point requirements'!$C$7:$C$34,MATCH($A59,'Point requirements'!$A$7:$A$34,0))="",INDEX('Point requirements'!$O$7:$O$34,MATCH($A59,'Point requirements'!$A$7:$A$34,0))="",INDEX('Config records'!$D$7:$D$62,MATCH("Recheck:"&amp;$A59,'Config records'!$A$7:$A$62,0))="",INDEX('Config records'!$N$7:$N$62,MATCH("Recheck:"&amp;$A59,'Config records'!$A$7:$A$62,0))=""),"Source missing",IF(AND(INDEX('Config records'!$D$7:$D$62,MATCH("Recheck:"&amp;$A59,'Config records'!$A$7:$A$62,0))=INDEX('Point requirements'!$C$7:$C$34,MATCH($A59,'Point requirements'!$A$7:$A$34,0)),INDEX('Config records'!$N$7:$N$62,MATCH("Recheck:"&amp;$A59,'Config records'!$A$7:$A$62,0))=INDEX('Point requirements'!$O$7:$O$34,MATCH($A59,'Point requirements'!$A$7:$A$34,0))),"Aligned","Mismatch")))</x:f>
        <x:v>Aligned</x:v>
      </x:c>
      <x:c r="D59" s="24" t="str">
        <x:f>IF(C59="Source missing","Source missing",IF(AND(INDEX('Point requirements'!$D$7:$D$34,MATCH($A59,'Point requirements'!$A$7:$A$34,0))&lt;&gt;"Yes",INDEX('Point requirements'!$D$7:$D$34,MATCH($A59,'Point requirements'!$A$7:$A$34,0))&lt;&gt;"No"),"Source missing",IF(INDEX('Point requirements'!$D$7:$D$34,MATCH($A59,'Point requirements'!$A$7:$A$34,0))="No","Not required",IF(INDEX('Config records'!$E$7:$E$62,MATCH("Recheck:"&amp;$A59,'Config records'!$A$7:$A$62,0))="Yes","Aligned","Missing display"))))</x:f>
        <x:v>Aligned</x:v>
      </x:c>
      <x:c r="E59" s="24" t="str">
        <x:f>IF(C59="Source missing","Source missing",IF(D59="Not required","Not applicable",IF(D59="Missing display","Not assessed",IF(INDEX('Config records'!$F$7:$F$62,MATCH("Recheck:"&amp;$A59,'Config records'!$A$7:$A$62,0))=INDEX('Point requirements'!$C$7:$C$34,MATCH($A59,'Point requirements'!$A$7:$A$34,0)),"Aligned","Mismatch"))))</x:f>
        <x:v>Aligned</x:v>
      </x:c>
      <x:c r="F59" s="24" t="str">
        <x:f>IF(C59="Source missing","Source missing",IF(D59="Not required","Not applicable",IF(D59="Missing display","Not assessed",IF(INDEX('Config records'!$G$7:$G$62,MATCH("Recheck:"&amp;$A59,'Config records'!$A$7:$A$62,0))=INDEX('Point requirements'!$E$7:$E$34,MATCH($A59,'Point requirements'!$A$7:$A$34,0)),"Aligned","Mismatch"))))</x:f>
        <x:v>Aligned</x:v>
      </x:c>
      <x:c r="G59" s="24" t="str">
        <x:f>IF(C59="Source missing","Source missing",IF(D59="Not required","Not applicable",IF(D59="Missing display","Not assessed",IF(INDEX('Config records'!$H$7:$H$62,MATCH("Recheck:"&amp;$A59,'Config records'!$A$7:$A$62,0))=INDEX('Point requirements'!$F$7:$F$34,MATCH($A59,'Point requirements'!$A$7:$A$34,0)),"Aligned","Mismatch"))))</x:f>
        <x:v>Aligned</x:v>
      </x:c>
      <x:c r="H59" s="24" t="str">
        <x:f>IF(C59="Source missing","Source missing",IF(D59="Not required","Not applicable",IF(D59="Missing display","Not assessed",IF(INDEX('Config records'!$I$7:$I$62,MATCH("Recheck:"&amp;$A59,'Config records'!$A$7:$A$62,0))=INDEX('Point requirements'!$G$7:$G$34,MATCH($A59,'Point requirements'!$A$7:$A$34,0)),"Aligned","Mismatch"))))</x:f>
        <x:v>Aligned</x:v>
      </x:c>
      <x:c r="I59" s="24" t="str">
        <x:f>IF(C59="Source missing","Source missing",IF(D59="Not required","Not applicable",IF(D59="Missing display","Not assessed",IF(INDEX('Config records'!$J$7:$J$62,MATCH("Recheck:"&amp;$A59,'Config records'!$A$7:$A$62,0))=INDEX('Point requirements'!$H$7:$H$34,MATCH($A59,'Point requirements'!$A$7:$A$34,0)),"Aligned","Mismatch"))))</x:f>
        <x:v>Aligned</x:v>
      </x:c>
      <x:c r="J59" s="24" t="str">
        <x:f>IF(C59="Source missing","Source missing",IF(INDEX('Point requirements'!$J$7:$J$34,MATCH($A59,'Point requirements'!$A$7:$A$34,0))="Not specified","Not applicable",IF(AND(ISNUMBER(INDEX('Point requirements'!$J$7:$J$34,MATCH($A59,'Point requirements'!$A$7:$A$34,0))),ISNUMBER(INDEX('Config records'!$K$7:$K$62,MATCH("Recheck:"&amp;$A59,'Config records'!$A$7:$A$62,0)))),IF(INDEX('Config records'!$K$7:$K$62,MATCH("Recheck:"&amp;$A59,'Config records'!$A$7:$A$62,0))=INDEX('Point requirements'!$J$7:$J$34,MATCH($A59,'Point requirements'!$A$7:$A$34,0)),"Aligned","Mismatch"),"Not recorded")))</x:f>
        <x:v>Not applicable</x:v>
      </x:c>
      <x:c r="K59" s="24" t="str">
        <x:f>IF(OR(COUNTIFS(C59:J59,"Source missing")&gt;0,N59="Source missing"),"Source missing",IF(AND(COUNTIFS(C59:J59,"Aligned")+COUNTIFS(C59:J59,"Not applicable")+COUNTIFS(C59:J59,"Not required")=8,OR(N59="Aligned",N59="Not applicable")),"Aligned","Follow-up"))</x:f>
        <x:v>Aligned</x:v>
      </x:c>
      <x:c r="L59" s="28" t="str">
        <x:f>IF(COUNTIFS('Point requirements'!$A$7:$A$34,$A59)&lt;&gt;1,"Source missing",INDEX('Point requirements'!$K$7:$K$34,MATCH($A59,'Point requirements'!$A$7:$A$34,0)))</x:f>
        <x:v>None</x:v>
      </x:c>
      <x:c r="M59" s="24" t="str">
        <x:f>IF(K59&lt;&gt;"Aligned","Review required",IF(INDEX('Point requirements'!$L$7:$L$34,MATCH($A59,'Point requirements'!$A$7:$A$34,0))&lt;&gt;"Confirmed","Review required",IF(L59="None","Reconciled",IF(COUNTIFS(Findings!$A$15:$A$18,L59)&lt;&gt;1,"Source missing",IF(INDEX(Findings!$F$15:$F$18,MATCH(L59,Findings!$A$15:$A$18,0))="Reconciled","Reconciled","Review required")))))</x:f>
        <x:v>Reconciled</x:v>
      </x:c>
      <x:c r="N59" s="24" t="str">
        <x:f>IF(C59="Source missing","Source missing",IF(INDEX('Point requirements'!$N$7:$N$34,MATCH($A59,'Point requirements'!$A$7:$A$34,0))="Not required","Not applicable",IF(INDEX('Config records'!$M$7:$M$62,MATCH("Recheck:"&amp;$A59,'Config records'!$A$7:$A$62,0))=INDEX('Point requirements'!$N$7:$N$34,MATCH($A59,'Point requirements'!$A$7:$A$34,0)),"Aligned","Mismatch")))</x:f>
        <x:v>Not applicable</x:v>
      </x:c>
    </x:row>
    <x:row r="60" ht="42" customHeight="1">
      <x:c r="A60" s="27" t="str">
        <x:v>P21</x:v>
      </x:c>
      <x:c r="B60" s="21" t="str">
        <x:f>IF(COUNTIFS('Point requirements'!$A$7:$A$34,$A60)&lt;&gt;1,"Source missing",INDEX('Point requirements'!$B$7:$B$34,MATCH($A60,'Point requirements'!$A$7:$A$34,0)))</x:f>
        <x:v>Operating mode (Off / Auto / Manual)</x:v>
      </x:c>
      <x:c r="C60" s="21" t="str">
        <x:f>IF(OR($A60="",COUNTIFS('Point requirements'!$A$7:$A$34,$A60)&lt;&gt;1,COUNTIFS('Config records'!$A$7:$A$62,"Recheck:"&amp;$A60)&lt;&gt;1,COUNTIFS($A$40:$A$67,$A60)&lt;&gt;1),"Source missing",IF(OR(INDEX('Point requirements'!$C$7:$C$34,MATCH($A60,'Point requirements'!$A$7:$A$34,0))="",INDEX('Point requirements'!$O$7:$O$34,MATCH($A60,'Point requirements'!$A$7:$A$34,0))="",INDEX('Config records'!$D$7:$D$62,MATCH("Recheck:"&amp;$A60,'Config records'!$A$7:$A$62,0))="",INDEX('Config records'!$N$7:$N$62,MATCH("Recheck:"&amp;$A60,'Config records'!$A$7:$A$62,0))=""),"Source missing",IF(AND(INDEX('Config records'!$D$7:$D$62,MATCH("Recheck:"&amp;$A60,'Config records'!$A$7:$A$62,0))=INDEX('Point requirements'!$C$7:$C$34,MATCH($A60,'Point requirements'!$A$7:$A$34,0)),INDEX('Config records'!$N$7:$N$62,MATCH("Recheck:"&amp;$A60,'Config records'!$A$7:$A$62,0))=INDEX('Point requirements'!$O$7:$O$34,MATCH($A60,'Point requirements'!$A$7:$A$34,0))),"Aligned","Mismatch")))</x:f>
        <x:v>Aligned</x:v>
      </x:c>
      <x:c r="D60" s="21" t="str">
        <x:f>IF(C60="Source missing","Source missing",IF(AND(INDEX('Point requirements'!$D$7:$D$34,MATCH($A60,'Point requirements'!$A$7:$A$34,0))&lt;&gt;"Yes",INDEX('Point requirements'!$D$7:$D$34,MATCH($A60,'Point requirements'!$A$7:$A$34,0))&lt;&gt;"No"),"Source missing",IF(INDEX('Point requirements'!$D$7:$D$34,MATCH($A60,'Point requirements'!$A$7:$A$34,0))="No","Not required",IF(INDEX('Config records'!$E$7:$E$62,MATCH("Recheck:"&amp;$A60,'Config records'!$A$7:$A$62,0))="Yes","Aligned","Missing display"))))</x:f>
        <x:v>Aligned</x:v>
      </x:c>
      <x:c r="E60" s="21" t="str">
        <x:f>IF(C60="Source missing","Source missing",IF(D60="Not required","Not applicable",IF(D60="Missing display","Not assessed",IF(INDEX('Config records'!$F$7:$F$62,MATCH("Recheck:"&amp;$A60,'Config records'!$A$7:$A$62,0))=INDEX('Point requirements'!$C$7:$C$34,MATCH($A60,'Point requirements'!$A$7:$A$34,0)),"Aligned","Mismatch"))))</x:f>
        <x:v>Aligned</x:v>
      </x:c>
      <x:c r="F60" s="21" t="str">
        <x:f>IF(C60="Source missing","Source missing",IF(D60="Not required","Not applicable",IF(D60="Missing display","Not assessed",IF(INDEX('Config records'!$G$7:$G$62,MATCH("Recheck:"&amp;$A60,'Config records'!$A$7:$A$62,0))=INDEX('Point requirements'!$E$7:$E$34,MATCH($A60,'Point requirements'!$A$7:$A$34,0)),"Aligned","Mismatch"))))</x:f>
        <x:v>Aligned</x:v>
      </x:c>
      <x:c r="G60" s="21" t="str">
        <x:f>IF(C60="Source missing","Source missing",IF(D60="Not required","Not applicable",IF(D60="Missing display","Not assessed",IF(INDEX('Config records'!$H$7:$H$62,MATCH("Recheck:"&amp;$A60,'Config records'!$A$7:$A$62,0))=INDEX('Point requirements'!$F$7:$F$34,MATCH($A60,'Point requirements'!$A$7:$A$34,0)),"Aligned","Mismatch"))))</x:f>
        <x:v>Aligned</x:v>
      </x:c>
      <x:c r="H60" s="21" t="str">
        <x:f>IF(C60="Source missing","Source missing",IF(D60="Not required","Not applicable",IF(D60="Missing display","Not assessed",IF(INDEX('Config records'!$I$7:$I$62,MATCH("Recheck:"&amp;$A60,'Config records'!$A$7:$A$62,0))=INDEX('Point requirements'!$G$7:$G$34,MATCH($A60,'Point requirements'!$A$7:$A$34,0)),"Aligned","Mismatch"))))</x:f>
        <x:v>Aligned</x:v>
      </x:c>
      <x:c r="I60" s="21" t="str">
        <x:f>IF(C60="Source missing","Source missing",IF(D60="Not required","Not applicable",IF(D60="Missing display","Not assessed",IF(INDEX('Config records'!$J$7:$J$62,MATCH("Recheck:"&amp;$A60,'Config records'!$A$7:$A$62,0))=INDEX('Point requirements'!$H$7:$H$34,MATCH($A60,'Point requirements'!$A$7:$A$34,0)),"Aligned","Mismatch"))))</x:f>
        <x:v>Aligned</x:v>
      </x:c>
      <x:c r="J60" s="21" t="str">
        <x:f>IF(C60="Source missing","Source missing",IF(INDEX('Point requirements'!$J$7:$J$34,MATCH($A60,'Point requirements'!$A$7:$A$34,0))="Not specified","Not applicable",IF(AND(ISNUMBER(INDEX('Point requirements'!$J$7:$J$34,MATCH($A60,'Point requirements'!$A$7:$A$34,0))),ISNUMBER(INDEX('Config records'!$K$7:$K$62,MATCH("Recheck:"&amp;$A60,'Config records'!$A$7:$A$62,0)))),IF(INDEX('Config records'!$K$7:$K$62,MATCH("Recheck:"&amp;$A60,'Config records'!$A$7:$A$62,0))=INDEX('Point requirements'!$J$7:$J$34,MATCH($A60,'Point requirements'!$A$7:$A$34,0)),"Aligned","Mismatch"),"Not recorded")))</x:f>
        <x:v>Not applicable</x:v>
      </x:c>
      <x:c r="K60" s="21" t="str">
        <x:f>IF(OR(COUNTIFS(C60:J60,"Source missing")&gt;0,N60="Source missing"),"Source missing",IF(AND(COUNTIFS(C60:J60,"Aligned")+COUNTIFS(C60:J60,"Not applicable")+COUNTIFS(C60:J60,"Not required")=8,OR(N60="Aligned",N60="Not applicable")),"Aligned","Follow-up"))</x:f>
        <x:v>Aligned</x:v>
      </x:c>
      <x:c r="L60" s="27" t="str">
        <x:f>IF(COUNTIFS('Point requirements'!$A$7:$A$34,$A60)&lt;&gt;1,"Source missing",INDEX('Point requirements'!$K$7:$K$34,MATCH($A60,'Point requirements'!$A$7:$A$34,0)))</x:f>
        <x:v>None</x:v>
      </x:c>
      <x:c r="M60" s="21" t="str">
        <x:f>IF(K60&lt;&gt;"Aligned","Review required",IF(INDEX('Point requirements'!$L$7:$L$34,MATCH($A60,'Point requirements'!$A$7:$A$34,0))&lt;&gt;"Confirmed","Review required",IF(L60="None","Reconciled",IF(COUNTIFS(Findings!$A$15:$A$18,L60)&lt;&gt;1,"Source missing",IF(INDEX(Findings!$F$15:$F$18,MATCH(L60,Findings!$A$15:$A$18,0))="Reconciled","Reconciled","Review required")))))</x:f>
        <x:v>Reconciled</x:v>
      </x:c>
      <x:c r="N60" s="21" t="str">
        <x:f>IF(C60="Source missing","Source missing",IF(INDEX('Point requirements'!$N$7:$N$34,MATCH($A60,'Point requirements'!$A$7:$A$34,0))="Not required","Not applicable",IF(INDEX('Config records'!$M$7:$M$62,MATCH("Recheck:"&amp;$A60,'Config records'!$A$7:$A$62,0))=INDEX('Point requirements'!$N$7:$N$34,MATCH($A60,'Point requirements'!$A$7:$A$34,0)),"Aligned","Mismatch")))</x:f>
        <x:v>Not applicable</x:v>
      </x:c>
    </x:row>
    <x:row r="61" ht="42" customHeight="1">
      <x:c r="A61" s="28" t="str">
        <x:v>P22</x:v>
      </x:c>
      <x:c r="B61" s="24" t="str">
        <x:f>IF(COUNTIFS('Point requirements'!$A$7:$A$34,$A61)&lt;&gt;1,"Source missing",INDEX('Point requirements'!$B$7:$B$34,MATCH($A61,'Point requirements'!$A$7:$A$34,0)))</x:f>
        <x:v>Supply-fan accumulated runtime</x:v>
      </x:c>
      <x:c r="C61" s="24" t="str">
        <x:f>IF(OR($A61="",COUNTIFS('Point requirements'!$A$7:$A$34,$A61)&lt;&gt;1,COUNTIFS('Config records'!$A$7:$A$62,"Recheck:"&amp;$A61)&lt;&gt;1,COUNTIFS($A$40:$A$67,$A61)&lt;&gt;1),"Source missing",IF(OR(INDEX('Point requirements'!$C$7:$C$34,MATCH($A61,'Point requirements'!$A$7:$A$34,0))="",INDEX('Point requirements'!$O$7:$O$34,MATCH($A61,'Point requirements'!$A$7:$A$34,0))="",INDEX('Config records'!$D$7:$D$62,MATCH("Recheck:"&amp;$A61,'Config records'!$A$7:$A$62,0))="",INDEX('Config records'!$N$7:$N$62,MATCH("Recheck:"&amp;$A61,'Config records'!$A$7:$A$62,0))=""),"Source missing",IF(AND(INDEX('Config records'!$D$7:$D$62,MATCH("Recheck:"&amp;$A61,'Config records'!$A$7:$A$62,0))=INDEX('Point requirements'!$C$7:$C$34,MATCH($A61,'Point requirements'!$A$7:$A$34,0)),INDEX('Config records'!$N$7:$N$62,MATCH("Recheck:"&amp;$A61,'Config records'!$A$7:$A$62,0))=INDEX('Point requirements'!$O$7:$O$34,MATCH($A61,'Point requirements'!$A$7:$A$34,0))),"Aligned","Mismatch")))</x:f>
        <x:v>Aligned</x:v>
      </x:c>
      <x:c r="D61" s="24" t="str">
        <x:f>IF(C61="Source missing","Source missing",IF(AND(INDEX('Point requirements'!$D$7:$D$34,MATCH($A61,'Point requirements'!$A$7:$A$34,0))&lt;&gt;"Yes",INDEX('Point requirements'!$D$7:$D$34,MATCH($A61,'Point requirements'!$A$7:$A$34,0))&lt;&gt;"No"),"Source missing",IF(INDEX('Point requirements'!$D$7:$D$34,MATCH($A61,'Point requirements'!$A$7:$A$34,0))="No","Not required",IF(INDEX('Config records'!$E$7:$E$62,MATCH("Recheck:"&amp;$A61,'Config records'!$A$7:$A$62,0))="Yes","Aligned","Missing display"))))</x:f>
        <x:v>Aligned</x:v>
      </x:c>
      <x:c r="E61" s="24" t="str">
        <x:f>IF(C61="Source missing","Source missing",IF(D61="Not required","Not applicable",IF(D61="Missing display","Not assessed",IF(INDEX('Config records'!$F$7:$F$62,MATCH("Recheck:"&amp;$A61,'Config records'!$A$7:$A$62,0))=INDEX('Point requirements'!$C$7:$C$34,MATCH($A61,'Point requirements'!$A$7:$A$34,0)),"Aligned","Mismatch"))))</x:f>
        <x:v>Aligned</x:v>
      </x:c>
      <x:c r="F61" s="24" t="str">
        <x:f>IF(C61="Source missing","Source missing",IF(D61="Not required","Not applicable",IF(D61="Missing display","Not assessed",IF(INDEX('Config records'!$G$7:$G$62,MATCH("Recheck:"&amp;$A61,'Config records'!$A$7:$A$62,0))=INDEX('Point requirements'!$E$7:$E$34,MATCH($A61,'Point requirements'!$A$7:$A$34,0)),"Aligned","Mismatch"))))</x:f>
        <x:v>Aligned</x:v>
      </x:c>
      <x:c r="G61" s="24" t="str">
        <x:f>IF(C61="Source missing","Source missing",IF(D61="Not required","Not applicable",IF(D61="Missing display","Not assessed",IF(INDEX('Config records'!$H$7:$H$62,MATCH("Recheck:"&amp;$A61,'Config records'!$A$7:$A$62,0))=INDEX('Point requirements'!$F$7:$F$34,MATCH($A61,'Point requirements'!$A$7:$A$34,0)),"Aligned","Mismatch"))))</x:f>
        <x:v>Aligned</x:v>
      </x:c>
      <x:c r="H61" s="24" t="str">
        <x:f>IF(C61="Source missing","Source missing",IF(D61="Not required","Not applicable",IF(D61="Missing display","Not assessed",IF(INDEX('Config records'!$I$7:$I$62,MATCH("Recheck:"&amp;$A61,'Config records'!$A$7:$A$62,0))=INDEX('Point requirements'!$G$7:$G$34,MATCH($A61,'Point requirements'!$A$7:$A$34,0)),"Aligned","Mismatch"))))</x:f>
        <x:v>Aligned</x:v>
      </x:c>
      <x:c r="I61" s="24" t="str">
        <x:f>IF(C61="Source missing","Source missing",IF(D61="Not required","Not applicable",IF(D61="Missing display","Not assessed",IF(INDEX('Config records'!$J$7:$J$62,MATCH("Recheck:"&amp;$A61,'Config records'!$A$7:$A$62,0))=INDEX('Point requirements'!$H$7:$H$34,MATCH($A61,'Point requirements'!$A$7:$A$34,0)),"Aligned","Mismatch"))))</x:f>
        <x:v>Aligned</x:v>
      </x:c>
      <x:c r="J61" s="24" t="str">
        <x:f>IF(C61="Source missing","Source missing",IF(INDEX('Point requirements'!$J$7:$J$34,MATCH($A61,'Point requirements'!$A$7:$A$34,0))="Not specified","Not applicable",IF(AND(ISNUMBER(INDEX('Point requirements'!$J$7:$J$34,MATCH($A61,'Point requirements'!$A$7:$A$34,0))),ISNUMBER(INDEX('Config records'!$K$7:$K$62,MATCH("Recheck:"&amp;$A61,'Config records'!$A$7:$A$62,0)))),IF(INDEX('Config records'!$K$7:$K$62,MATCH("Recheck:"&amp;$A61,'Config records'!$A$7:$A$62,0))=INDEX('Point requirements'!$J$7:$J$34,MATCH($A61,'Point requirements'!$A$7:$A$34,0)),"Aligned","Mismatch"),"Not recorded")))</x:f>
        <x:v>Not applicable</x:v>
      </x:c>
      <x:c r="K61" s="24" t="str">
        <x:f>IF(OR(COUNTIFS(C61:J61,"Source missing")&gt;0,N61="Source missing"),"Source missing",IF(AND(COUNTIFS(C61:J61,"Aligned")+COUNTIFS(C61:J61,"Not applicable")+COUNTIFS(C61:J61,"Not required")=8,OR(N61="Aligned",N61="Not applicable")),"Aligned","Follow-up"))</x:f>
        <x:v>Aligned</x:v>
      </x:c>
      <x:c r="L61" s="28" t="str">
        <x:f>IF(COUNTIFS('Point requirements'!$A$7:$A$34,$A61)&lt;&gt;1,"Source missing",INDEX('Point requirements'!$K$7:$K$34,MATCH($A61,'Point requirements'!$A$7:$A$34,0)))</x:f>
        <x:v>None</x:v>
      </x:c>
      <x:c r="M61" s="24" t="str">
        <x:f>IF(K61&lt;&gt;"Aligned","Review required",IF(INDEX('Point requirements'!$L$7:$L$34,MATCH($A61,'Point requirements'!$A$7:$A$34,0))&lt;&gt;"Confirmed","Review required",IF(L61="None","Reconciled",IF(COUNTIFS(Findings!$A$15:$A$18,L61)&lt;&gt;1,"Source missing",IF(INDEX(Findings!$F$15:$F$18,MATCH(L61,Findings!$A$15:$A$18,0))="Reconciled","Reconciled","Review required")))))</x:f>
        <x:v>Reconciled</x:v>
      </x:c>
      <x:c r="N61" s="24" t="str">
        <x:f>IF(C61="Source missing","Source missing",IF(INDEX('Point requirements'!$N$7:$N$34,MATCH($A61,'Point requirements'!$A$7:$A$34,0))="Not required","Not applicable",IF(INDEX('Config records'!$M$7:$M$62,MATCH("Recheck:"&amp;$A61,'Config records'!$A$7:$A$62,0))=INDEX('Point requirements'!$N$7:$N$34,MATCH($A61,'Point requirements'!$A$7:$A$34,0)),"Aligned","Mismatch")))</x:f>
        <x:v>Not applicable</x:v>
      </x:c>
    </x:row>
    <x:row r="62" ht="42" customHeight="1">
      <x:c r="A62" s="27" t="str">
        <x:v>P23</x:v>
      </x:c>
      <x:c r="B62" s="21" t="str">
        <x:f>IF(COUNTIFS('Point requirements'!$A$7:$A$34,$A62)&lt;&gt;1,"Source missing",INDEX('Point requirements'!$B$7:$B$34,MATCH($A62,'Point requirements'!$A$7:$A$34,0)))</x:f>
        <x:v>Supply-fan start count</x:v>
      </x:c>
      <x:c r="C62" s="21" t="str">
        <x:f>IF(OR($A62="",COUNTIFS('Point requirements'!$A$7:$A$34,$A62)&lt;&gt;1,COUNTIFS('Config records'!$A$7:$A$62,"Recheck:"&amp;$A62)&lt;&gt;1,COUNTIFS($A$40:$A$67,$A62)&lt;&gt;1),"Source missing",IF(OR(INDEX('Point requirements'!$C$7:$C$34,MATCH($A62,'Point requirements'!$A$7:$A$34,0))="",INDEX('Point requirements'!$O$7:$O$34,MATCH($A62,'Point requirements'!$A$7:$A$34,0))="",INDEX('Config records'!$D$7:$D$62,MATCH("Recheck:"&amp;$A62,'Config records'!$A$7:$A$62,0))="",INDEX('Config records'!$N$7:$N$62,MATCH("Recheck:"&amp;$A62,'Config records'!$A$7:$A$62,0))=""),"Source missing",IF(AND(INDEX('Config records'!$D$7:$D$62,MATCH("Recheck:"&amp;$A62,'Config records'!$A$7:$A$62,0))=INDEX('Point requirements'!$C$7:$C$34,MATCH($A62,'Point requirements'!$A$7:$A$34,0)),INDEX('Config records'!$N$7:$N$62,MATCH("Recheck:"&amp;$A62,'Config records'!$A$7:$A$62,0))=INDEX('Point requirements'!$O$7:$O$34,MATCH($A62,'Point requirements'!$A$7:$A$34,0))),"Aligned","Mismatch")))</x:f>
        <x:v>Aligned</x:v>
      </x:c>
      <x:c r="D62" s="21" t="str">
        <x:f>IF(C62="Source missing","Source missing",IF(AND(INDEX('Point requirements'!$D$7:$D$34,MATCH($A62,'Point requirements'!$A$7:$A$34,0))&lt;&gt;"Yes",INDEX('Point requirements'!$D$7:$D$34,MATCH($A62,'Point requirements'!$A$7:$A$34,0))&lt;&gt;"No"),"Source missing",IF(INDEX('Point requirements'!$D$7:$D$34,MATCH($A62,'Point requirements'!$A$7:$A$34,0))="No","Not required",IF(INDEX('Config records'!$E$7:$E$62,MATCH("Recheck:"&amp;$A62,'Config records'!$A$7:$A$62,0))="Yes","Aligned","Missing display"))))</x:f>
        <x:v>Aligned</x:v>
      </x:c>
      <x:c r="E62" s="21" t="str">
        <x:f>IF(C62="Source missing","Source missing",IF(D62="Not required","Not applicable",IF(D62="Missing display","Not assessed",IF(INDEX('Config records'!$F$7:$F$62,MATCH("Recheck:"&amp;$A62,'Config records'!$A$7:$A$62,0))=INDEX('Point requirements'!$C$7:$C$34,MATCH($A62,'Point requirements'!$A$7:$A$34,0)),"Aligned","Mismatch"))))</x:f>
        <x:v>Aligned</x:v>
      </x:c>
      <x:c r="F62" s="21" t="str">
        <x:f>IF(C62="Source missing","Source missing",IF(D62="Not required","Not applicable",IF(D62="Missing display","Not assessed",IF(INDEX('Config records'!$G$7:$G$62,MATCH("Recheck:"&amp;$A62,'Config records'!$A$7:$A$62,0))=INDEX('Point requirements'!$E$7:$E$34,MATCH($A62,'Point requirements'!$A$7:$A$34,0)),"Aligned","Mismatch"))))</x:f>
        <x:v>Aligned</x:v>
      </x:c>
      <x:c r="G62" s="21" t="str">
        <x:f>IF(C62="Source missing","Source missing",IF(D62="Not required","Not applicable",IF(D62="Missing display","Not assessed",IF(INDEX('Config records'!$H$7:$H$62,MATCH("Recheck:"&amp;$A62,'Config records'!$A$7:$A$62,0))=INDEX('Point requirements'!$F$7:$F$34,MATCH($A62,'Point requirements'!$A$7:$A$34,0)),"Aligned","Mismatch"))))</x:f>
        <x:v>Aligned</x:v>
      </x:c>
      <x:c r="H62" s="21" t="str">
        <x:f>IF(C62="Source missing","Source missing",IF(D62="Not required","Not applicable",IF(D62="Missing display","Not assessed",IF(INDEX('Config records'!$I$7:$I$62,MATCH("Recheck:"&amp;$A62,'Config records'!$A$7:$A$62,0))=INDEX('Point requirements'!$G$7:$G$34,MATCH($A62,'Point requirements'!$A$7:$A$34,0)),"Aligned","Mismatch"))))</x:f>
        <x:v>Aligned</x:v>
      </x:c>
      <x:c r="I62" s="21" t="str">
        <x:f>IF(C62="Source missing","Source missing",IF(D62="Not required","Not applicable",IF(D62="Missing display","Not assessed",IF(INDEX('Config records'!$J$7:$J$62,MATCH("Recheck:"&amp;$A62,'Config records'!$A$7:$A$62,0))=INDEX('Point requirements'!$H$7:$H$34,MATCH($A62,'Point requirements'!$A$7:$A$34,0)),"Aligned","Mismatch"))))</x:f>
        <x:v>Aligned</x:v>
      </x:c>
      <x:c r="J62" s="21" t="str">
        <x:f>IF(C62="Source missing","Source missing",IF(INDEX('Point requirements'!$J$7:$J$34,MATCH($A62,'Point requirements'!$A$7:$A$34,0))="Not specified","Not applicable",IF(AND(ISNUMBER(INDEX('Point requirements'!$J$7:$J$34,MATCH($A62,'Point requirements'!$A$7:$A$34,0))),ISNUMBER(INDEX('Config records'!$K$7:$K$62,MATCH("Recheck:"&amp;$A62,'Config records'!$A$7:$A$62,0)))),IF(INDEX('Config records'!$K$7:$K$62,MATCH("Recheck:"&amp;$A62,'Config records'!$A$7:$A$62,0))=INDEX('Point requirements'!$J$7:$J$34,MATCH($A62,'Point requirements'!$A$7:$A$34,0)),"Aligned","Mismatch"),"Not recorded")))</x:f>
        <x:v>Not applicable</x:v>
      </x:c>
      <x:c r="K62" s="21" t="str">
        <x:f>IF(OR(COUNTIFS(C62:J62,"Source missing")&gt;0,N62="Source missing"),"Source missing",IF(AND(COUNTIFS(C62:J62,"Aligned")+COUNTIFS(C62:J62,"Not applicable")+COUNTIFS(C62:J62,"Not required")=8,OR(N62="Aligned",N62="Not applicable")),"Aligned","Follow-up"))</x:f>
        <x:v>Aligned</x:v>
      </x:c>
      <x:c r="L62" s="27" t="str">
        <x:f>IF(COUNTIFS('Point requirements'!$A$7:$A$34,$A62)&lt;&gt;1,"Source missing",INDEX('Point requirements'!$K$7:$K$34,MATCH($A62,'Point requirements'!$A$7:$A$34,0)))</x:f>
        <x:v>None</x:v>
      </x:c>
      <x:c r="M62" s="21" t="str">
        <x:f>IF(K62&lt;&gt;"Aligned","Review required",IF(INDEX('Point requirements'!$L$7:$L$34,MATCH($A62,'Point requirements'!$A$7:$A$34,0))&lt;&gt;"Confirmed","Review required",IF(L62="None","Reconciled",IF(COUNTIFS(Findings!$A$15:$A$18,L62)&lt;&gt;1,"Source missing",IF(INDEX(Findings!$F$15:$F$18,MATCH(L62,Findings!$A$15:$A$18,0))="Reconciled","Reconciled","Review required")))))</x:f>
        <x:v>Reconciled</x:v>
      </x:c>
      <x:c r="N62" s="21" t="str">
        <x:f>IF(C62="Source missing","Source missing",IF(INDEX('Point requirements'!$N$7:$N$34,MATCH($A62,'Point requirements'!$A$7:$A$34,0))="Not required","Not applicable",IF(INDEX('Config records'!$M$7:$M$62,MATCH("Recheck:"&amp;$A62,'Config records'!$A$7:$A$62,0))=INDEX('Point requirements'!$N$7:$N$34,MATCH($A62,'Point requirements'!$A$7:$A$34,0)),"Aligned","Mismatch")))</x:f>
        <x:v>Not applicable</x:v>
      </x:c>
    </x:row>
    <x:row r="63" ht="42" customHeight="1">
      <x:c r="A63" s="28" t="str">
        <x:v>P24</x:v>
      </x:c>
      <x:c r="B63" s="24" t="str">
        <x:f>IF(COUNTIFS('Point requirements'!$A$7:$A$34,$A63)&lt;&gt;1,"Source missing",INDEX('Point requirements'!$B$7:$B$34,MATCH($A63,'Point requirements'!$A$7:$A$34,0)))</x:f>
        <x:v>Return-air relative humidity</x:v>
      </x:c>
      <x:c r="C63" s="24" t="str">
        <x:f>IF(OR($A63="",COUNTIFS('Point requirements'!$A$7:$A$34,$A63)&lt;&gt;1,COUNTIFS('Config records'!$A$7:$A$62,"Recheck:"&amp;$A63)&lt;&gt;1,COUNTIFS($A$40:$A$67,$A63)&lt;&gt;1),"Source missing",IF(OR(INDEX('Point requirements'!$C$7:$C$34,MATCH($A63,'Point requirements'!$A$7:$A$34,0))="",INDEX('Point requirements'!$O$7:$O$34,MATCH($A63,'Point requirements'!$A$7:$A$34,0))="",INDEX('Config records'!$D$7:$D$62,MATCH("Recheck:"&amp;$A63,'Config records'!$A$7:$A$62,0))="",INDEX('Config records'!$N$7:$N$62,MATCH("Recheck:"&amp;$A63,'Config records'!$A$7:$A$62,0))=""),"Source missing",IF(AND(INDEX('Config records'!$D$7:$D$62,MATCH("Recheck:"&amp;$A63,'Config records'!$A$7:$A$62,0))=INDEX('Point requirements'!$C$7:$C$34,MATCH($A63,'Point requirements'!$A$7:$A$34,0)),INDEX('Config records'!$N$7:$N$62,MATCH("Recheck:"&amp;$A63,'Config records'!$A$7:$A$62,0))=INDEX('Point requirements'!$O$7:$O$34,MATCH($A63,'Point requirements'!$A$7:$A$34,0))),"Aligned","Mismatch")))</x:f>
        <x:v>Aligned</x:v>
      </x:c>
      <x:c r="D63" s="24" t="str">
        <x:f>IF(C63="Source missing","Source missing",IF(AND(INDEX('Point requirements'!$D$7:$D$34,MATCH($A63,'Point requirements'!$A$7:$A$34,0))&lt;&gt;"Yes",INDEX('Point requirements'!$D$7:$D$34,MATCH($A63,'Point requirements'!$A$7:$A$34,0))&lt;&gt;"No"),"Source missing",IF(INDEX('Point requirements'!$D$7:$D$34,MATCH($A63,'Point requirements'!$A$7:$A$34,0))="No","Not required",IF(INDEX('Config records'!$E$7:$E$62,MATCH("Recheck:"&amp;$A63,'Config records'!$A$7:$A$62,0))="Yes","Aligned","Missing display"))))</x:f>
        <x:v>Aligned</x:v>
      </x:c>
      <x:c r="E63" s="24" t="str">
        <x:f>IF(C63="Source missing","Source missing",IF(D63="Not required","Not applicable",IF(D63="Missing display","Not assessed",IF(INDEX('Config records'!$F$7:$F$62,MATCH("Recheck:"&amp;$A63,'Config records'!$A$7:$A$62,0))=INDEX('Point requirements'!$C$7:$C$34,MATCH($A63,'Point requirements'!$A$7:$A$34,0)),"Aligned","Mismatch"))))</x:f>
        <x:v>Aligned</x:v>
      </x:c>
      <x:c r="F63" s="24" t="str">
        <x:f>IF(C63="Source missing","Source missing",IF(D63="Not required","Not applicable",IF(D63="Missing display","Not assessed",IF(INDEX('Config records'!$G$7:$G$62,MATCH("Recheck:"&amp;$A63,'Config records'!$A$7:$A$62,0))=INDEX('Point requirements'!$E$7:$E$34,MATCH($A63,'Point requirements'!$A$7:$A$34,0)),"Aligned","Mismatch"))))</x:f>
        <x:v>Aligned</x:v>
      </x:c>
      <x:c r="G63" s="24" t="str">
        <x:f>IF(C63="Source missing","Source missing",IF(D63="Not required","Not applicable",IF(D63="Missing display","Not assessed",IF(INDEX('Config records'!$H$7:$H$62,MATCH("Recheck:"&amp;$A63,'Config records'!$A$7:$A$62,0))=INDEX('Point requirements'!$F$7:$F$34,MATCH($A63,'Point requirements'!$A$7:$A$34,0)),"Aligned","Mismatch"))))</x:f>
        <x:v>Aligned</x:v>
      </x:c>
      <x:c r="H63" s="24" t="str">
        <x:f>IF(C63="Source missing","Source missing",IF(D63="Not required","Not applicable",IF(D63="Missing display","Not assessed",IF(INDEX('Config records'!$I$7:$I$62,MATCH("Recheck:"&amp;$A63,'Config records'!$A$7:$A$62,0))=INDEX('Point requirements'!$G$7:$G$34,MATCH($A63,'Point requirements'!$A$7:$A$34,0)),"Aligned","Mismatch"))))</x:f>
        <x:v>Aligned</x:v>
      </x:c>
      <x:c r="I63" s="24" t="str">
        <x:f>IF(C63="Source missing","Source missing",IF(D63="Not required","Not applicable",IF(D63="Missing display","Not assessed",IF(INDEX('Config records'!$J$7:$J$62,MATCH("Recheck:"&amp;$A63,'Config records'!$A$7:$A$62,0))=INDEX('Point requirements'!$H$7:$H$34,MATCH($A63,'Point requirements'!$A$7:$A$34,0)),"Aligned","Mismatch"))))</x:f>
        <x:v>Aligned</x:v>
      </x:c>
      <x:c r="J63" s="24" t="str">
        <x:f>IF(C63="Source missing","Source missing",IF(INDEX('Point requirements'!$J$7:$J$34,MATCH($A63,'Point requirements'!$A$7:$A$34,0))="Not specified","Not applicable",IF(AND(ISNUMBER(INDEX('Point requirements'!$J$7:$J$34,MATCH($A63,'Point requirements'!$A$7:$A$34,0))),ISNUMBER(INDEX('Config records'!$K$7:$K$62,MATCH("Recheck:"&amp;$A63,'Config records'!$A$7:$A$62,0)))),IF(INDEX('Config records'!$K$7:$K$62,MATCH("Recheck:"&amp;$A63,'Config records'!$A$7:$A$62,0))=INDEX('Point requirements'!$J$7:$J$34,MATCH($A63,'Point requirements'!$A$7:$A$34,0)),"Aligned","Mismatch"),"Not recorded")))</x:f>
        <x:v>Not applicable</x:v>
      </x:c>
      <x:c r="K63" s="24" t="str">
        <x:f>IF(OR(COUNTIFS(C63:J63,"Source missing")&gt;0,N63="Source missing"),"Source missing",IF(AND(COUNTIFS(C63:J63,"Aligned")+COUNTIFS(C63:J63,"Not applicable")+COUNTIFS(C63:J63,"Not required")=8,OR(N63="Aligned",N63="Not applicable")),"Aligned","Follow-up"))</x:f>
        <x:v>Aligned</x:v>
      </x:c>
      <x:c r="L63" s="28" t="str">
        <x:f>IF(COUNTIFS('Point requirements'!$A$7:$A$34,$A63)&lt;&gt;1,"Source missing",INDEX('Point requirements'!$K$7:$K$34,MATCH($A63,'Point requirements'!$A$7:$A$34,0)))</x:f>
        <x:v>None</x:v>
      </x:c>
      <x:c r="M63" s="24" t="str">
        <x:f>IF(K63&lt;&gt;"Aligned","Review required",IF(INDEX('Point requirements'!$L$7:$L$34,MATCH($A63,'Point requirements'!$A$7:$A$34,0))&lt;&gt;"Confirmed","Review required",IF(L63="None","Reconciled",IF(COUNTIFS(Findings!$A$15:$A$18,L63)&lt;&gt;1,"Source missing",IF(INDEX(Findings!$F$15:$F$18,MATCH(L63,Findings!$A$15:$A$18,0))="Reconciled","Reconciled","Review required")))))</x:f>
        <x:v>Reconciled</x:v>
      </x:c>
      <x:c r="N63" s="24" t="str">
        <x:f>IF(C63="Source missing","Source missing",IF(INDEX('Point requirements'!$N$7:$N$34,MATCH($A63,'Point requirements'!$A$7:$A$34,0))="Not required","Not applicable",IF(INDEX('Config records'!$M$7:$M$62,MATCH("Recheck:"&amp;$A63,'Config records'!$A$7:$A$62,0))=INDEX('Point requirements'!$N$7:$N$34,MATCH($A63,'Point requirements'!$A$7:$A$34,0)),"Aligned","Mismatch")))</x:f>
        <x:v>Not applicable</x:v>
      </x:c>
    </x:row>
    <x:row r="64" ht="42" customHeight="1">
      <x:c r="A64" s="27" t="str">
        <x:v>P25</x:v>
      </x:c>
      <x:c r="B64" s="21" t="str">
        <x:f>IF(COUNTIFS('Point requirements'!$A$7:$A$34,$A64)&lt;&gt;1,"Source missing",INDEX('Point requirements'!$B$7:$B$34,MATCH($A64,'Point requirements'!$A$7:$A$34,0)))</x:f>
        <x:v>Return-air relative-humidity setpoint</x:v>
      </x:c>
      <x:c r="C64" s="21" t="str">
        <x:f>IF(OR($A64="",COUNTIFS('Point requirements'!$A$7:$A$34,$A64)&lt;&gt;1,COUNTIFS('Config records'!$A$7:$A$62,"Recheck:"&amp;$A64)&lt;&gt;1,COUNTIFS($A$40:$A$67,$A64)&lt;&gt;1),"Source missing",IF(OR(INDEX('Point requirements'!$C$7:$C$34,MATCH($A64,'Point requirements'!$A$7:$A$34,0))="",INDEX('Point requirements'!$O$7:$O$34,MATCH($A64,'Point requirements'!$A$7:$A$34,0))="",INDEX('Config records'!$D$7:$D$62,MATCH("Recheck:"&amp;$A64,'Config records'!$A$7:$A$62,0))="",INDEX('Config records'!$N$7:$N$62,MATCH("Recheck:"&amp;$A64,'Config records'!$A$7:$A$62,0))=""),"Source missing",IF(AND(INDEX('Config records'!$D$7:$D$62,MATCH("Recheck:"&amp;$A64,'Config records'!$A$7:$A$62,0))=INDEX('Point requirements'!$C$7:$C$34,MATCH($A64,'Point requirements'!$A$7:$A$34,0)),INDEX('Config records'!$N$7:$N$62,MATCH("Recheck:"&amp;$A64,'Config records'!$A$7:$A$62,0))=INDEX('Point requirements'!$O$7:$O$34,MATCH($A64,'Point requirements'!$A$7:$A$34,0))),"Aligned","Mismatch")))</x:f>
        <x:v>Aligned</x:v>
      </x:c>
      <x:c r="D64" s="21" t="str">
        <x:f>IF(C64="Source missing","Source missing",IF(AND(INDEX('Point requirements'!$D$7:$D$34,MATCH($A64,'Point requirements'!$A$7:$A$34,0))&lt;&gt;"Yes",INDEX('Point requirements'!$D$7:$D$34,MATCH($A64,'Point requirements'!$A$7:$A$34,0))&lt;&gt;"No"),"Source missing",IF(INDEX('Point requirements'!$D$7:$D$34,MATCH($A64,'Point requirements'!$A$7:$A$34,0))="No","Not required",IF(INDEX('Config records'!$E$7:$E$62,MATCH("Recheck:"&amp;$A64,'Config records'!$A$7:$A$62,0))="Yes","Aligned","Missing display"))))</x:f>
        <x:v>Aligned</x:v>
      </x:c>
      <x:c r="E64" s="21" t="str">
        <x:f>IF(C64="Source missing","Source missing",IF(D64="Not required","Not applicable",IF(D64="Missing display","Not assessed",IF(INDEX('Config records'!$F$7:$F$62,MATCH("Recheck:"&amp;$A64,'Config records'!$A$7:$A$62,0))=INDEX('Point requirements'!$C$7:$C$34,MATCH($A64,'Point requirements'!$A$7:$A$34,0)),"Aligned","Mismatch"))))</x:f>
        <x:v>Aligned</x:v>
      </x:c>
      <x:c r="F64" s="21" t="str">
        <x:f>IF(C64="Source missing","Source missing",IF(D64="Not required","Not applicable",IF(D64="Missing display","Not assessed",IF(INDEX('Config records'!$G$7:$G$62,MATCH("Recheck:"&amp;$A64,'Config records'!$A$7:$A$62,0))=INDEX('Point requirements'!$E$7:$E$34,MATCH($A64,'Point requirements'!$A$7:$A$34,0)),"Aligned","Mismatch"))))</x:f>
        <x:v>Aligned</x:v>
      </x:c>
      <x:c r="G64" s="21" t="str">
        <x:f>IF(C64="Source missing","Source missing",IF(D64="Not required","Not applicable",IF(D64="Missing display","Not assessed",IF(INDEX('Config records'!$H$7:$H$62,MATCH("Recheck:"&amp;$A64,'Config records'!$A$7:$A$62,0))=INDEX('Point requirements'!$F$7:$F$34,MATCH($A64,'Point requirements'!$A$7:$A$34,0)),"Aligned","Mismatch"))))</x:f>
        <x:v>Aligned</x:v>
      </x:c>
      <x:c r="H64" s="21" t="str">
        <x:f>IF(C64="Source missing","Source missing",IF(D64="Not required","Not applicable",IF(D64="Missing display","Not assessed",IF(INDEX('Config records'!$I$7:$I$62,MATCH("Recheck:"&amp;$A64,'Config records'!$A$7:$A$62,0))=INDEX('Point requirements'!$G$7:$G$34,MATCH($A64,'Point requirements'!$A$7:$A$34,0)),"Aligned","Mismatch"))))</x:f>
        <x:v>Aligned</x:v>
      </x:c>
      <x:c r="I64" s="21" t="str">
        <x:f>IF(C64="Source missing","Source missing",IF(D64="Not required","Not applicable",IF(D64="Missing display","Not assessed",IF(INDEX('Config records'!$J$7:$J$62,MATCH("Recheck:"&amp;$A64,'Config records'!$A$7:$A$62,0))=INDEX('Point requirements'!$H$7:$H$34,MATCH($A64,'Point requirements'!$A$7:$A$34,0)),"Aligned","Mismatch"))))</x:f>
        <x:v>Aligned</x:v>
      </x:c>
      <x:c r="J64" s="21" t="str">
        <x:f>IF(C64="Source missing","Source missing",IF(INDEX('Point requirements'!$J$7:$J$34,MATCH($A64,'Point requirements'!$A$7:$A$34,0))="Not specified","Not applicable",IF(AND(ISNUMBER(INDEX('Point requirements'!$J$7:$J$34,MATCH($A64,'Point requirements'!$A$7:$A$34,0))),ISNUMBER(INDEX('Config records'!$K$7:$K$62,MATCH("Recheck:"&amp;$A64,'Config records'!$A$7:$A$62,0)))),IF(INDEX('Config records'!$K$7:$K$62,MATCH("Recheck:"&amp;$A64,'Config records'!$A$7:$A$62,0))=INDEX('Point requirements'!$J$7:$J$34,MATCH($A64,'Point requirements'!$A$7:$A$34,0)),"Aligned","Mismatch"),"Not recorded")))</x:f>
        <x:v>Not applicable</x:v>
      </x:c>
      <x:c r="K64" s="21" t="str">
        <x:f>IF(OR(COUNTIFS(C64:J64,"Source missing")&gt;0,N64="Source missing"),"Source missing",IF(AND(COUNTIFS(C64:J64,"Aligned")+COUNTIFS(C64:J64,"Not applicable")+COUNTIFS(C64:J64,"Not required")=8,OR(N64="Aligned",N64="Not applicable")),"Aligned","Follow-up"))</x:f>
        <x:v>Aligned</x:v>
      </x:c>
      <x:c r="L64" s="27" t="str">
        <x:f>IF(COUNTIFS('Point requirements'!$A$7:$A$34,$A64)&lt;&gt;1,"Source missing",INDEX('Point requirements'!$K$7:$K$34,MATCH($A64,'Point requirements'!$A$7:$A$34,0)))</x:f>
        <x:v>None</x:v>
      </x:c>
      <x:c r="M64" s="21" t="str">
        <x:f>IF(K64&lt;&gt;"Aligned","Review required",IF(INDEX('Point requirements'!$L$7:$L$34,MATCH($A64,'Point requirements'!$A$7:$A$34,0))&lt;&gt;"Confirmed","Review required",IF(L64="None","Reconciled",IF(COUNTIFS(Findings!$A$15:$A$18,L64)&lt;&gt;1,"Source missing",IF(INDEX(Findings!$F$15:$F$18,MATCH(L64,Findings!$A$15:$A$18,0))="Reconciled","Reconciled","Review required")))))</x:f>
        <x:v>Reconciled</x:v>
      </x:c>
      <x:c r="N64" s="21" t="str">
        <x:f>IF(C64="Source missing","Source missing",IF(INDEX('Point requirements'!$N$7:$N$34,MATCH($A64,'Point requirements'!$A$7:$A$34,0))="Not required","Not applicable",IF(INDEX('Config records'!$M$7:$M$62,MATCH("Recheck:"&amp;$A64,'Config records'!$A$7:$A$62,0))=INDEX('Point requirements'!$N$7:$N$34,MATCH($A64,'Point requirements'!$A$7:$A$34,0)),"Aligned","Mismatch")))</x:f>
        <x:v>Not applicable</x:v>
      </x:c>
    </x:row>
    <x:row r="65" ht="42" customHeight="1">
      <x:c r="A65" s="28" t="str">
        <x:v>P26</x:v>
      </x:c>
      <x:c r="B65" s="24" t="str">
        <x:f>IF(COUNTIFS('Point requirements'!$A$7:$A$34,$A65)&lt;&gt;1,"Source missing",INDEX('Point requirements'!$B$7:$B$34,MATCH($A65,'Point requirements'!$A$7:$A$34,0)))</x:f>
        <x:v>Humidifier output (ON/OFF)</x:v>
      </x:c>
      <x:c r="C65" s="24" t="str">
        <x:f>IF(OR($A65="",COUNTIFS('Point requirements'!$A$7:$A$34,$A65)&lt;&gt;1,COUNTIFS('Config records'!$A$7:$A$62,"Recheck:"&amp;$A65)&lt;&gt;1,COUNTIFS($A$40:$A$67,$A65)&lt;&gt;1),"Source missing",IF(OR(INDEX('Point requirements'!$C$7:$C$34,MATCH($A65,'Point requirements'!$A$7:$A$34,0))="",INDEX('Point requirements'!$O$7:$O$34,MATCH($A65,'Point requirements'!$A$7:$A$34,0))="",INDEX('Config records'!$D$7:$D$62,MATCH("Recheck:"&amp;$A65,'Config records'!$A$7:$A$62,0))="",INDEX('Config records'!$N$7:$N$62,MATCH("Recheck:"&amp;$A65,'Config records'!$A$7:$A$62,0))=""),"Source missing",IF(AND(INDEX('Config records'!$D$7:$D$62,MATCH("Recheck:"&amp;$A65,'Config records'!$A$7:$A$62,0))=INDEX('Point requirements'!$C$7:$C$34,MATCH($A65,'Point requirements'!$A$7:$A$34,0)),INDEX('Config records'!$N$7:$N$62,MATCH("Recheck:"&amp;$A65,'Config records'!$A$7:$A$62,0))=INDEX('Point requirements'!$O$7:$O$34,MATCH($A65,'Point requirements'!$A$7:$A$34,0))),"Aligned","Mismatch")))</x:f>
        <x:v>Aligned</x:v>
      </x:c>
      <x:c r="D65" s="24" t="str">
        <x:f>IF(C65="Source missing","Source missing",IF(AND(INDEX('Point requirements'!$D$7:$D$34,MATCH($A65,'Point requirements'!$A$7:$A$34,0))&lt;&gt;"Yes",INDEX('Point requirements'!$D$7:$D$34,MATCH($A65,'Point requirements'!$A$7:$A$34,0))&lt;&gt;"No"),"Source missing",IF(INDEX('Point requirements'!$D$7:$D$34,MATCH($A65,'Point requirements'!$A$7:$A$34,0))="No","Not required",IF(INDEX('Config records'!$E$7:$E$62,MATCH("Recheck:"&amp;$A65,'Config records'!$A$7:$A$62,0))="Yes","Aligned","Missing display"))))</x:f>
        <x:v>Aligned</x:v>
      </x:c>
      <x:c r="E65" s="24" t="str">
        <x:f>IF(C65="Source missing","Source missing",IF(D65="Not required","Not applicable",IF(D65="Missing display","Not assessed",IF(INDEX('Config records'!$F$7:$F$62,MATCH("Recheck:"&amp;$A65,'Config records'!$A$7:$A$62,0))=INDEX('Point requirements'!$C$7:$C$34,MATCH($A65,'Point requirements'!$A$7:$A$34,0)),"Aligned","Mismatch"))))</x:f>
        <x:v>Aligned</x:v>
      </x:c>
      <x:c r="F65" s="24" t="str">
        <x:f>IF(C65="Source missing","Source missing",IF(D65="Not required","Not applicable",IF(D65="Missing display","Not assessed",IF(INDEX('Config records'!$G$7:$G$62,MATCH("Recheck:"&amp;$A65,'Config records'!$A$7:$A$62,0))=INDEX('Point requirements'!$E$7:$E$34,MATCH($A65,'Point requirements'!$A$7:$A$34,0)),"Aligned","Mismatch"))))</x:f>
        <x:v>Aligned</x:v>
      </x:c>
      <x:c r="G65" s="24" t="str">
        <x:f>IF(C65="Source missing","Source missing",IF(D65="Not required","Not applicable",IF(D65="Missing display","Not assessed",IF(INDEX('Config records'!$H$7:$H$62,MATCH("Recheck:"&amp;$A65,'Config records'!$A$7:$A$62,0))=INDEX('Point requirements'!$F$7:$F$34,MATCH($A65,'Point requirements'!$A$7:$A$34,0)),"Aligned","Mismatch"))))</x:f>
        <x:v>Aligned</x:v>
      </x:c>
      <x:c r="H65" s="24" t="str">
        <x:f>IF(C65="Source missing","Source missing",IF(D65="Not required","Not applicable",IF(D65="Missing display","Not assessed",IF(INDEX('Config records'!$I$7:$I$62,MATCH("Recheck:"&amp;$A65,'Config records'!$A$7:$A$62,0))=INDEX('Point requirements'!$G$7:$G$34,MATCH($A65,'Point requirements'!$A$7:$A$34,0)),"Aligned","Mismatch"))))</x:f>
        <x:v>Aligned</x:v>
      </x:c>
      <x:c r="I65" s="24" t="str">
        <x:f>IF(C65="Source missing","Source missing",IF(D65="Not required","Not applicable",IF(D65="Missing display","Not assessed",IF(INDEX('Config records'!$J$7:$J$62,MATCH("Recheck:"&amp;$A65,'Config records'!$A$7:$A$62,0))=INDEX('Point requirements'!$H$7:$H$34,MATCH($A65,'Point requirements'!$A$7:$A$34,0)),"Aligned","Mismatch"))))</x:f>
        <x:v>Aligned</x:v>
      </x:c>
      <x:c r="J65" s="24" t="str">
        <x:f>IF(C65="Source missing","Source missing",IF(INDEX('Point requirements'!$J$7:$J$34,MATCH($A65,'Point requirements'!$A$7:$A$34,0))="Not specified","Not applicable",IF(AND(ISNUMBER(INDEX('Point requirements'!$J$7:$J$34,MATCH($A65,'Point requirements'!$A$7:$A$34,0))),ISNUMBER(INDEX('Config records'!$K$7:$K$62,MATCH("Recheck:"&amp;$A65,'Config records'!$A$7:$A$62,0)))),IF(INDEX('Config records'!$K$7:$K$62,MATCH("Recheck:"&amp;$A65,'Config records'!$A$7:$A$62,0))=INDEX('Point requirements'!$J$7:$J$34,MATCH($A65,'Point requirements'!$A$7:$A$34,0)),"Aligned","Mismatch"),"Not recorded")))</x:f>
        <x:v>Not applicable</x:v>
      </x:c>
      <x:c r="K65" s="24" t="str">
        <x:f>IF(OR(COUNTIFS(C65:J65,"Source missing")&gt;0,N65="Source missing"),"Source missing",IF(AND(COUNTIFS(C65:J65,"Aligned")+COUNTIFS(C65:J65,"Not applicable")+COUNTIFS(C65:J65,"Not required")=8,OR(N65="Aligned",N65="Not applicable")),"Aligned","Follow-up"))</x:f>
        <x:v>Aligned</x:v>
      </x:c>
      <x:c r="L65" s="28" t="str">
        <x:f>IF(COUNTIFS('Point requirements'!$A$7:$A$34,$A65)&lt;&gt;1,"Source missing",INDEX('Point requirements'!$K$7:$K$34,MATCH($A65,'Point requirements'!$A$7:$A$34,0)))</x:f>
        <x:v>None</x:v>
      </x:c>
      <x:c r="M65" s="24" t="str">
        <x:f>IF(K65&lt;&gt;"Aligned","Review required",IF(INDEX('Point requirements'!$L$7:$L$34,MATCH($A65,'Point requirements'!$A$7:$A$34,0))&lt;&gt;"Confirmed","Review required",IF(L65="None","Reconciled",IF(COUNTIFS(Findings!$A$15:$A$18,L65)&lt;&gt;1,"Source missing",IF(INDEX(Findings!$F$15:$F$18,MATCH(L65,Findings!$A$15:$A$18,0))="Reconciled","Reconciled","Review required")))))</x:f>
        <x:v>Reconciled</x:v>
      </x:c>
      <x:c r="N65" s="24" t="str">
        <x:f>IF(C65="Source missing","Source missing",IF(INDEX('Point requirements'!$N$7:$N$34,MATCH($A65,'Point requirements'!$A$7:$A$34,0))="Not required","Not applicable",IF(INDEX('Config records'!$M$7:$M$62,MATCH("Recheck:"&amp;$A65,'Config records'!$A$7:$A$62,0))=INDEX('Point requirements'!$N$7:$N$34,MATCH($A65,'Point requirements'!$A$7:$A$34,0)),"Aligned","Mismatch")))</x:f>
        <x:v>Not applicable</x:v>
      </x:c>
    </x:row>
    <x:row r="66" ht="42" customHeight="1">
      <x:c r="A66" s="27" t="str">
        <x:v>P27</x:v>
      </x:c>
      <x:c r="B66" s="21" t="str">
        <x:f>IF(COUNTIFS('Point requirements'!$A$7:$A$34,$A66)&lt;&gt;1,"Source missing",INDEX('Point requirements'!$B$7:$B$34,MATCH($A66,'Point requirements'!$A$7:$A$34,0)))</x:f>
        <x:v>Humidification enable command</x:v>
      </x:c>
      <x:c r="C66" s="21" t="str">
        <x:f>IF(OR($A66="",COUNTIFS('Point requirements'!$A$7:$A$34,$A66)&lt;&gt;1,COUNTIFS('Config records'!$A$7:$A$62,"Recheck:"&amp;$A66)&lt;&gt;1,COUNTIFS($A$40:$A$67,$A66)&lt;&gt;1),"Source missing",IF(OR(INDEX('Point requirements'!$C$7:$C$34,MATCH($A66,'Point requirements'!$A$7:$A$34,0))="",INDEX('Point requirements'!$O$7:$O$34,MATCH($A66,'Point requirements'!$A$7:$A$34,0))="",INDEX('Config records'!$D$7:$D$62,MATCH("Recheck:"&amp;$A66,'Config records'!$A$7:$A$62,0))="",INDEX('Config records'!$N$7:$N$62,MATCH("Recheck:"&amp;$A66,'Config records'!$A$7:$A$62,0))=""),"Source missing",IF(AND(INDEX('Config records'!$D$7:$D$62,MATCH("Recheck:"&amp;$A66,'Config records'!$A$7:$A$62,0))=INDEX('Point requirements'!$C$7:$C$34,MATCH($A66,'Point requirements'!$A$7:$A$34,0)),INDEX('Config records'!$N$7:$N$62,MATCH("Recheck:"&amp;$A66,'Config records'!$A$7:$A$62,0))=INDEX('Point requirements'!$O$7:$O$34,MATCH($A66,'Point requirements'!$A$7:$A$34,0))),"Aligned","Mismatch")))</x:f>
        <x:v>Aligned</x:v>
      </x:c>
      <x:c r="D66" s="21" t="str">
        <x:f>IF(C66="Source missing","Source missing",IF(AND(INDEX('Point requirements'!$D$7:$D$34,MATCH($A66,'Point requirements'!$A$7:$A$34,0))&lt;&gt;"Yes",INDEX('Point requirements'!$D$7:$D$34,MATCH($A66,'Point requirements'!$A$7:$A$34,0))&lt;&gt;"No"),"Source missing",IF(INDEX('Point requirements'!$D$7:$D$34,MATCH($A66,'Point requirements'!$A$7:$A$34,0))="No","Not required",IF(INDEX('Config records'!$E$7:$E$62,MATCH("Recheck:"&amp;$A66,'Config records'!$A$7:$A$62,0))="Yes","Aligned","Missing display"))))</x:f>
        <x:v>Aligned</x:v>
      </x:c>
      <x:c r="E66" s="21" t="str">
        <x:f>IF(C66="Source missing","Source missing",IF(D66="Not required","Not applicable",IF(D66="Missing display","Not assessed",IF(INDEX('Config records'!$F$7:$F$62,MATCH("Recheck:"&amp;$A66,'Config records'!$A$7:$A$62,0))=INDEX('Point requirements'!$C$7:$C$34,MATCH($A66,'Point requirements'!$A$7:$A$34,0)),"Aligned","Mismatch"))))</x:f>
        <x:v>Aligned</x:v>
      </x:c>
      <x:c r="F66" s="21" t="str">
        <x:f>IF(C66="Source missing","Source missing",IF(D66="Not required","Not applicable",IF(D66="Missing display","Not assessed",IF(INDEX('Config records'!$G$7:$G$62,MATCH("Recheck:"&amp;$A66,'Config records'!$A$7:$A$62,0))=INDEX('Point requirements'!$E$7:$E$34,MATCH($A66,'Point requirements'!$A$7:$A$34,0)),"Aligned","Mismatch"))))</x:f>
        <x:v>Aligned</x:v>
      </x:c>
      <x:c r="G66" s="21" t="str">
        <x:f>IF(C66="Source missing","Source missing",IF(D66="Not required","Not applicable",IF(D66="Missing display","Not assessed",IF(INDEX('Config records'!$H$7:$H$62,MATCH("Recheck:"&amp;$A66,'Config records'!$A$7:$A$62,0))=INDEX('Point requirements'!$F$7:$F$34,MATCH($A66,'Point requirements'!$A$7:$A$34,0)),"Aligned","Mismatch"))))</x:f>
        <x:v>Aligned</x:v>
      </x:c>
      <x:c r="H66" s="21" t="str">
        <x:f>IF(C66="Source missing","Source missing",IF(D66="Not required","Not applicable",IF(D66="Missing display","Not assessed",IF(INDEX('Config records'!$I$7:$I$62,MATCH("Recheck:"&amp;$A66,'Config records'!$A$7:$A$62,0))=INDEX('Point requirements'!$G$7:$G$34,MATCH($A66,'Point requirements'!$A$7:$A$34,0)),"Aligned","Mismatch"))))</x:f>
        <x:v>Aligned</x:v>
      </x:c>
      <x:c r="I66" s="21" t="str">
        <x:f>IF(C66="Source missing","Source missing",IF(D66="Not required","Not applicable",IF(D66="Missing display","Not assessed",IF(INDEX('Config records'!$J$7:$J$62,MATCH("Recheck:"&amp;$A66,'Config records'!$A$7:$A$62,0))=INDEX('Point requirements'!$H$7:$H$34,MATCH($A66,'Point requirements'!$A$7:$A$34,0)),"Aligned","Mismatch"))))</x:f>
        <x:v>Aligned</x:v>
      </x:c>
      <x:c r="J66" s="21" t="str">
        <x:f>IF(C66="Source missing","Source missing",IF(INDEX('Point requirements'!$J$7:$J$34,MATCH($A66,'Point requirements'!$A$7:$A$34,0))="Not specified","Not applicable",IF(AND(ISNUMBER(INDEX('Point requirements'!$J$7:$J$34,MATCH($A66,'Point requirements'!$A$7:$A$34,0))),ISNUMBER(INDEX('Config records'!$K$7:$K$62,MATCH("Recheck:"&amp;$A66,'Config records'!$A$7:$A$62,0)))),IF(INDEX('Config records'!$K$7:$K$62,MATCH("Recheck:"&amp;$A66,'Config records'!$A$7:$A$62,0))=INDEX('Point requirements'!$J$7:$J$34,MATCH($A66,'Point requirements'!$A$7:$A$34,0)),"Aligned","Mismatch"),"Not recorded")))</x:f>
        <x:v>Not applicable</x:v>
      </x:c>
      <x:c r="K66" s="21" t="str">
        <x:f>IF(OR(COUNTIFS(C66:J66,"Source missing")&gt;0,N66="Source missing"),"Source missing",IF(AND(COUNTIFS(C66:J66,"Aligned")+COUNTIFS(C66:J66,"Not applicable")+COUNTIFS(C66:J66,"Not required")=8,OR(N66="Aligned",N66="Not applicable")),"Aligned","Follow-up"))</x:f>
        <x:v>Aligned</x:v>
      </x:c>
      <x:c r="L66" s="27" t="str">
        <x:f>IF(COUNTIFS('Point requirements'!$A$7:$A$34,$A66)&lt;&gt;1,"Source missing",INDEX('Point requirements'!$K$7:$K$34,MATCH($A66,'Point requirements'!$A$7:$A$34,0)))</x:f>
        <x:v>None</x:v>
      </x:c>
      <x:c r="M66" s="21" t="str">
        <x:f>IF(K66&lt;&gt;"Aligned","Review required",IF(INDEX('Point requirements'!$L$7:$L$34,MATCH($A66,'Point requirements'!$A$7:$A$34,0))&lt;&gt;"Confirmed","Review required",IF(L66="None","Reconciled",IF(COUNTIFS(Findings!$A$15:$A$18,L66)&lt;&gt;1,"Source missing",IF(INDEX(Findings!$F$15:$F$18,MATCH(L66,Findings!$A$15:$A$18,0))="Reconciled","Reconciled","Review required")))))</x:f>
        <x:v>Reconciled</x:v>
      </x:c>
      <x:c r="N66" s="21" t="str">
        <x:f>IF(C66="Source missing","Source missing",IF(INDEX('Point requirements'!$N$7:$N$34,MATCH($A66,'Point requirements'!$A$7:$A$34,0))="Not required","Not applicable",IF(INDEX('Config records'!$M$7:$M$62,MATCH("Recheck:"&amp;$A66,'Config records'!$A$7:$A$62,0))=INDEX('Point requirements'!$N$7:$N$34,MATCH($A66,'Point requirements'!$A$7:$A$34,0)),"Aligned","Mismatch")))</x:f>
        <x:v>Not applicable</x:v>
      </x:c>
    </x:row>
    <x:row r="67" ht="42" customHeight="1">
      <x:c r="A67" s="28" t="str">
        <x:v>P28</x:v>
      </x:c>
      <x:c r="B67" s="24" t="str">
        <x:f>IF(COUNTIFS('Point requirements'!$A$7:$A$34,$A67)&lt;&gt;1,"Source missing",INDEX('Point requirements'!$B$7:$B$34,MATCH($A67,'Point requirements'!$A$7:$A$34,0)))</x:f>
        <x:v>Humidifier run status</x:v>
      </x:c>
      <x:c r="C67" s="24" t="str">
        <x:f>IF(OR($A67="",COUNTIFS('Point requirements'!$A$7:$A$34,$A67)&lt;&gt;1,COUNTIFS('Config records'!$A$7:$A$62,"Recheck:"&amp;$A67)&lt;&gt;1,COUNTIFS($A$40:$A$67,$A67)&lt;&gt;1),"Source missing",IF(OR(INDEX('Point requirements'!$C$7:$C$34,MATCH($A67,'Point requirements'!$A$7:$A$34,0))="",INDEX('Point requirements'!$O$7:$O$34,MATCH($A67,'Point requirements'!$A$7:$A$34,0))="",INDEX('Config records'!$D$7:$D$62,MATCH("Recheck:"&amp;$A67,'Config records'!$A$7:$A$62,0))="",INDEX('Config records'!$N$7:$N$62,MATCH("Recheck:"&amp;$A67,'Config records'!$A$7:$A$62,0))=""),"Source missing",IF(AND(INDEX('Config records'!$D$7:$D$62,MATCH("Recheck:"&amp;$A67,'Config records'!$A$7:$A$62,0))=INDEX('Point requirements'!$C$7:$C$34,MATCH($A67,'Point requirements'!$A$7:$A$34,0)),INDEX('Config records'!$N$7:$N$62,MATCH("Recheck:"&amp;$A67,'Config records'!$A$7:$A$62,0))=INDEX('Point requirements'!$O$7:$O$34,MATCH($A67,'Point requirements'!$A$7:$A$34,0))),"Aligned","Mismatch")))</x:f>
        <x:v>Aligned</x:v>
      </x:c>
      <x:c r="D67" s="24" t="str">
        <x:f>IF(C67="Source missing","Source missing",IF(AND(INDEX('Point requirements'!$D$7:$D$34,MATCH($A67,'Point requirements'!$A$7:$A$34,0))&lt;&gt;"Yes",INDEX('Point requirements'!$D$7:$D$34,MATCH($A67,'Point requirements'!$A$7:$A$34,0))&lt;&gt;"No"),"Source missing",IF(INDEX('Point requirements'!$D$7:$D$34,MATCH($A67,'Point requirements'!$A$7:$A$34,0))="No","Not required",IF(INDEX('Config records'!$E$7:$E$62,MATCH("Recheck:"&amp;$A67,'Config records'!$A$7:$A$62,0))="Yes","Aligned","Missing display"))))</x:f>
        <x:v>Aligned</x:v>
      </x:c>
      <x:c r="E67" s="24" t="str">
        <x:f>IF(C67="Source missing","Source missing",IF(D67="Not required","Not applicable",IF(D67="Missing display","Not assessed",IF(INDEX('Config records'!$F$7:$F$62,MATCH("Recheck:"&amp;$A67,'Config records'!$A$7:$A$62,0))=INDEX('Point requirements'!$C$7:$C$34,MATCH($A67,'Point requirements'!$A$7:$A$34,0)),"Aligned","Mismatch"))))</x:f>
        <x:v>Aligned</x:v>
      </x:c>
      <x:c r="F67" s="24" t="str">
        <x:f>IF(C67="Source missing","Source missing",IF(D67="Not required","Not applicable",IF(D67="Missing display","Not assessed",IF(INDEX('Config records'!$G$7:$G$62,MATCH("Recheck:"&amp;$A67,'Config records'!$A$7:$A$62,0))=INDEX('Point requirements'!$E$7:$E$34,MATCH($A67,'Point requirements'!$A$7:$A$34,0)),"Aligned","Mismatch"))))</x:f>
        <x:v>Aligned</x:v>
      </x:c>
      <x:c r="G67" s="24" t="str">
        <x:f>IF(C67="Source missing","Source missing",IF(D67="Not required","Not applicable",IF(D67="Missing display","Not assessed",IF(INDEX('Config records'!$H$7:$H$62,MATCH("Recheck:"&amp;$A67,'Config records'!$A$7:$A$62,0))=INDEX('Point requirements'!$F$7:$F$34,MATCH($A67,'Point requirements'!$A$7:$A$34,0)),"Aligned","Mismatch"))))</x:f>
        <x:v>Aligned</x:v>
      </x:c>
      <x:c r="H67" s="24" t="str">
        <x:f>IF(C67="Source missing","Source missing",IF(D67="Not required","Not applicable",IF(D67="Missing display","Not assessed",IF(INDEX('Config records'!$I$7:$I$62,MATCH("Recheck:"&amp;$A67,'Config records'!$A$7:$A$62,0))=INDEX('Point requirements'!$G$7:$G$34,MATCH($A67,'Point requirements'!$A$7:$A$34,0)),"Aligned","Mismatch"))))</x:f>
        <x:v>Aligned</x:v>
      </x:c>
      <x:c r="I67" s="24" t="str">
        <x:f>IF(C67="Source missing","Source missing",IF(D67="Not required","Not applicable",IF(D67="Missing display","Not assessed",IF(INDEX('Config records'!$J$7:$J$62,MATCH("Recheck:"&amp;$A67,'Config records'!$A$7:$A$62,0))=INDEX('Point requirements'!$H$7:$H$34,MATCH($A67,'Point requirements'!$A$7:$A$34,0)),"Aligned","Mismatch"))))</x:f>
        <x:v>Aligned</x:v>
      </x:c>
      <x:c r="J67" s="24" t="str">
        <x:f>IF(C67="Source missing","Source missing",IF(INDEX('Point requirements'!$J$7:$J$34,MATCH($A67,'Point requirements'!$A$7:$A$34,0))="Not specified","Not applicable",IF(AND(ISNUMBER(INDEX('Point requirements'!$J$7:$J$34,MATCH($A67,'Point requirements'!$A$7:$A$34,0))),ISNUMBER(INDEX('Config records'!$K$7:$K$62,MATCH("Recheck:"&amp;$A67,'Config records'!$A$7:$A$62,0)))),IF(INDEX('Config records'!$K$7:$K$62,MATCH("Recheck:"&amp;$A67,'Config records'!$A$7:$A$62,0))=INDEX('Point requirements'!$J$7:$J$34,MATCH($A67,'Point requirements'!$A$7:$A$34,0)),"Aligned","Mismatch"),"Not recorded")))</x:f>
        <x:v>Not applicable</x:v>
      </x:c>
      <x:c r="K67" s="24" t="str">
        <x:f>IF(OR(COUNTIFS(C67:J67,"Source missing")&gt;0,N67="Source missing"),"Source missing",IF(AND(COUNTIFS(C67:J67,"Aligned")+COUNTIFS(C67:J67,"Not applicable")+COUNTIFS(C67:J67,"Not required")=8,OR(N67="Aligned",N67="Not applicable")),"Aligned","Follow-up"))</x:f>
        <x:v>Aligned</x:v>
      </x:c>
      <x:c r="L67" s="28" t="str">
        <x:f>IF(COUNTIFS('Point requirements'!$A$7:$A$34,$A67)&lt;&gt;1,"Source missing",INDEX('Point requirements'!$K$7:$K$34,MATCH($A67,'Point requirements'!$A$7:$A$34,0)))</x:f>
        <x:v>None</x:v>
      </x:c>
      <x:c r="M67" s="24" t="str">
        <x:f>IF(K67&lt;&gt;"Aligned","Review required",IF(INDEX('Point requirements'!$L$7:$L$34,MATCH($A67,'Point requirements'!$A$7:$A$34,0))&lt;&gt;"Confirmed","Review required",IF(L67="None","Reconciled",IF(COUNTIFS(Findings!$A$15:$A$18,L67)&lt;&gt;1,"Source missing",IF(INDEX(Findings!$F$15:$F$18,MATCH(L67,Findings!$A$15:$A$18,0))="Reconciled","Reconciled","Review required")))))</x:f>
        <x:v>Reconciled</x:v>
      </x:c>
      <x:c r="N67" s="24" t="str">
        <x:f>IF(C67="Source missing","Source missing",IF(INDEX('Point requirements'!$N$7:$N$34,MATCH($A67,'Point requirements'!$A$7:$A$34,0))="Not required","Not applicable",IF(INDEX('Config records'!$M$7:$M$62,MATCH("Recheck:"&amp;$A67,'Config records'!$A$7:$A$62,0))=INDEX('Point requirements'!$N$7:$N$34,MATCH($A67,'Point requirements'!$A$7:$A$34,0)),"Aligned","Mismatch")))</x:f>
        <x:v>Not applicable</x:v>
      </x:c>
    </x:row>
    <x:row r="68" ht="25" customHeight="1">
      <x:c r="A68" s="2"/>
      <x:c r="B68" s="2"/>
      <x:c r="C68" s="2"/>
      <x:c r="D68" s="2"/>
      <x:c r="E68" s="2"/>
      <x:c r="F68" s="2"/>
      <x:c r="G68" s="2"/>
      <x:c r="H68" s="2"/>
      <x:c r="I68" s="2"/>
      <x:c r="J68" s="2"/>
      <x:c r="K68" s="2"/>
      <x:c r="L68" s="2"/>
      <x:c r="M68" s="2"/>
      <x:c r="N68" s="2"/>
    </x:row>
    <x:row r="69" ht="34" customHeight="1">
      <x:c r="A69" s="7" t="str">
        <x:v>Counts cover registered points only. Completion also requires the separately listed monitoring function and other defined function-record reviews.</x:v>
      </x:c>
      <x:c r="B69" s="7" t="str">
        <x:v>Counts cover registered points only. Completion also requires the separately listed monitoring function and other defined function-record reviews.</x:v>
      </x:c>
      <x:c r="C69" s="7" t="str">
        <x:v>Counts cover registered points only. Completion also requires the separately listed monitoring function and other defined function-record reviews.</x:v>
      </x:c>
      <x:c r="D69" s="7" t="str">
        <x:v>Counts cover registered points only. Completion also requires the separately listed monitoring function and other defined function-record reviews.</x:v>
      </x:c>
      <x:c r="E69" s="7" t="str">
        <x:v>Counts cover registered points only. Completion also requires the separately listed monitoring function and other defined function-record reviews.</x:v>
      </x:c>
      <x:c r="F69" s="7" t="str">
        <x:v>Counts cover registered points only. Completion also requires the separately listed monitoring function and other defined function-record reviews.</x:v>
      </x:c>
      <x:c r="G69" s="7" t="str">
        <x:v>Counts cover registered points only. Completion also requires the separately listed monitoring function and other defined function-record reviews.</x:v>
      </x:c>
      <x:c r="H69" s="7" t="str">
        <x:v>Counts cover registered points only. Completion also requires the separately listed monitoring function and other defined function-record reviews.</x:v>
      </x:c>
      <x:c r="I69" s="7" t="str">
        <x:v>Counts cover registered points only. Completion also requires the separately listed monitoring function and other defined function-record reviews.</x:v>
      </x:c>
      <x:c r="J69" s="7" t="str">
        <x:v>Counts cover registered points only. Completion also requires the separately listed monitoring function and other defined function-record reviews.</x:v>
      </x:c>
      <x:c r="K69" s="7" t="str">
        <x:v>Counts cover registered points only. Completion also requires the separately listed monitoring function and other defined function-record reviews.</x:v>
      </x:c>
      <x:c r="L69" s="7" t="str">
        <x:v>Counts cover registered points only. Completion also requires the separately listed monitoring function and other defined function-record reviews.</x:v>
      </x:c>
      <x:c r="M69" s="7" t="str">
        <x:v>Counts cover registered points only. Completion also requires the separately listed monitoring function and other defined function-record reviews.</x:v>
      </x:c>
      <x:c r="N69" s="7" t="str">
        <x:v>Counts cover registered points only. Completion also requires the separately listed monitoring function and other defined function-record reviews.</x:v>
      </x:c>
    </x:row>
    <x:row r="70" ht="25" customHeight="1">
      <x:c r="A70" s="2"/>
      <x:c r="B70" s="2"/>
      <x:c r="C70" s="2"/>
      <x:c r="D70" s="2"/>
      <x:c r="E70" s="2"/>
      <x:c r="F70" s="2"/>
      <x:c r="G70" s="2"/>
      <x:c r="H70" s="2"/>
      <x:c r="I70" s="2"/>
      <x:c r="J70" s="2"/>
      <x:c r="K70" s="2"/>
      <x:c r="L70" s="2"/>
      <x:c r="M70" s="2"/>
      <x:c r="N70" s="2"/>
    </x:row>
  </x:sheetData>
  <x:mergeCells>
    <x:mergeCell ref="A2:N2"/>
    <x:mergeCell ref="A4:N4"/>
    <x:mergeCell ref="A37:N37"/>
    <x:mergeCell ref="A69:N69"/>
  </x:mergeCells>
  <x:conditionalFormatting sqref="C7:N34">
    <x:cfRule type="containsText" dxfId="0" priority="1" operator="containsText" text="Mismatch"/>
    <x:cfRule type="containsText" dxfId="1" priority="2" operator="containsText" text="Missing"/>
    <x:cfRule type="containsText" dxfId="2" priority="3" operator="containsText" text="Open"/>
    <x:cfRule type="containsText" dxfId="3" priority="4" operator="containsText" text="Not recorded"/>
    <x:cfRule type="containsText" dxfId="4" priority="5" operator="containsText" text="Not assessed"/>
    <x:cfRule type="containsText" dxfId="5" priority="6" operator="containsText" text="Review required"/>
    <x:cfRule type="containsText" dxfId="6" priority="7" operator="containsText" text="Source missing"/>
  </x:conditionalFormatting>
  <x:conditionalFormatting sqref="C40:N67">
    <x:cfRule type="containsText" dxfId="7" priority="8" operator="containsText" text="Mismatch"/>
    <x:cfRule type="containsText" dxfId="8" priority="9" operator="containsText" text="Missing"/>
    <x:cfRule type="containsText" dxfId="9" priority="10" operator="containsText" text="Open"/>
    <x:cfRule type="containsText" dxfId="10" priority="11" operator="containsText" text="Not recorded"/>
    <x:cfRule type="containsText" dxfId="11" priority="12" operator="containsText" text="Not assessed"/>
    <x:cfRule type="containsText" dxfId="12" priority="13" operator="containsText" text="Review required"/>
    <x:cfRule type="containsText" dxfId="13" priority="14" operator="containsText" text="Source missing"/>
  </x:conditionalFormatting>
  <x:pageMargins left="0.7" right="0.7" top="0.75" bottom="0.75" header="0.3" footer="0.3"/>
  <x:tableParts count="2">
    <x:tablePart xmlns:r="http://schemas.openxmlformats.org/officeDocument/2006/relationships" r:id="R56c35361626242b7"/>
    <x:tablePart xmlns:r="http://schemas.openxmlformats.org/officeDocument/2006/relationships" r:id="R89af56d7c2c84a74"/>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2" hidden="0" customWidth="1"/>
    <x:col min="2" max="2" width="36" hidden="0" customWidth="1"/>
    <x:col min="3" max="3" width="39" hidden="0" customWidth="1"/>
    <x:col min="4" max="4" width="40" hidden="0" customWidth="1"/>
    <x:col min="5" max="5" width="29" hidden="0" customWidth="1"/>
    <x:col min="6" max="6" width="30" hidden="0" customWidth="1"/>
  </x:cols>
  <x:sheetData>
    <x:row r="1" ht="25" customHeight="1">
      <x:c r="A1" s="2"/>
      <x:c r="B1" s="2"/>
      <x:c r="C1" s="2"/>
      <x:c r="D1" s="2"/>
      <x:c r="E1" s="2"/>
      <x:c r="F1" s="2"/>
    </x:row>
    <x:row r="2" ht="37" customHeight="1">
      <x:c r="A2" s="4" t="str">
        <x:v>Functions and engineering settings</x:v>
      </x:c>
      <x:c r="B2" s="4" t="str">
        <x:v>Functions and engineering settings</x:v>
      </x:c>
      <x:c r="C2" s="4" t="str">
        <x:v>Functions and engineering settings</x:v>
      </x:c>
      <x:c r="D2" s="4" t="str">
        <x:v>Functions and engineering settings</x:v>
      </x:c>
      <x:c r="E2" s="4" t="str">
        <x:v>Functions and engineering settings</x:v>
      </x:c>
      <x:c r="F2" s="4" t="str">
        <x:v>Functions and engineering settings</x:v>
      </x:c>
    </x:row>
    <x:row r="3" ht="7" customHeight="1">
      <x:c r="A3" s="5"/>
      <x:c r="B3" s="5"/>
      <x:c r="C3" s="5"/>
      <x:c r="D3" s="5"/>
      <x:c r="E3" s="5"/>
      <x:c r="F3" s="5"/>
    </x:row>
    <x:row r="4" ht="34" customHeight="1">
      <x:c r="A4" s="7" t="str">
        <x:v>All 28 registered points are reviewed separately. Function review covers only M01–M03 below. The humidity sequence is defined, but its operation is not tested.</x:v>
      </x:c>
      <x:c r="B4" s="7" t="str">
        <x:v>All 28 registered points are reviewed separately. Function review covers only M01–M03 below. The humidity sequence is defined, but its operation is not tested.</x:v>
      </x:c>
      <x:c r="C4" s="7" t="str">
        <x:v>All 28 registered points are reviewed separately. Function review covers only M01–M03 below. The humidity sequence is defined, but its operation is not tested.</x:v>
      </x:c>
      <x:c r="D4" s="7" t="str">
        <x:v>All 28 registered points are reviewed separately. Function review covers only M01–M03 below. The humidity sequence is defined, but its operation is not tested.</x:v>
      </x:c>
      <x:c r="E4" s="7" t="str">
        <x:v>All 28 registered points are reviewed separately. Function review covers only M01–M03 below. The humidity sequence is defined, but its operation is not tested.</x:v>
      </x:c>
      <x:c r="F4" s="7" t="str">
        <x:v>All 28 registered points are reviewed separately. Function review covers only M01–M03 below. The humidity sequence is defined, but its operation is not tested.</x:v>
      </x:c>
    </x:row>
    <x:row r="5" ht="25" customHeight="1">
      <x:c r="A5" s="2"/>
      <x:c r="B5" s="2"/>
      <x:c r="C5" s="2"/>
      <x:c r="D5" s="2"/>
      <x:c r="E5" s="2"/>
      <x:c r="F5" s="2"/>
    </x:row>
    <x:row r="6" ht="44" customHeight="1">
      <x:c r="A6" s="16" t="str">
        <x:v>Item</x:v>
      </x:c>
      <x:c r="B6" s="17" t="str">
        <x:v>Function</x:v>
      </x:c>
      <x:c r="C6" s="17" t="str">
        <x:v>Initial review</x:v>
      </x:c>
      <x:c r="D6" s="17" t="str">
        <x:v>Automated record checks</x:v>
      </x:c>
      <x:c r="E6" s="17" t="str">
        <x:v>Human decision</x:v>
      </x:c>
      <x:c r="F6" s="18" t="str">
        <x:v>Final record review</x:v>
      </x:c>
    </x:row>
    <x:row r="7" ht="48" customHeight="1">
      <x:c r="A7" s="27" t="str">
        <x:v>M01</x:v>
      </x:c>
      <x:c r="B7" s="21" t="str">
        <x:v>AHU command / supply-fan status monitoring</x:v>
      </x:c>
      <x:c r="C7" s="21" t="str">
        <x:v>Missing timing evidence</x:v>
      </x:c>
      <x:c r="D7" s="21" t="str">
        <x:f>$C$25</x:f>
        <x:v>Aligned</x:v>
      </x:c>
      <x:c r="E7" s="35" t="str">
        <x:v>Confirmed</x:v>
      </x:c>
      <x:c r="F7" s="21" t="str">
        <x:f>IF(COUNTIFS(Findings!$A$15:$A$18,"F04")&lt;&gt;1,"Review required",IF(AND(D7="Aligned",E7="Confirmed",INDEX(Findings!$F$15:$F$18,MATCH("F04",Findings!$A$15:$A$18,0))="Reconciled"),"Reconciled","Review required"))</x:f>
        <x:v>Reconciled</x:v>
      </x:c>
    </x:row>
    <x:row r="8" ht="48" customHeight="1">
      <x:c r="A8" s="28" t="str">
        <x:v>M02</x:v>
      </x:c>
      <x:c r="B8" s="24" t="str">
        <x:v>Weekly schedule and exception dates</x:v>
      </x:c>
      <x:c r="C8" s="24" t="str">
        <x:v>Aligned in records</x:v>
      </x:c>
      <x:c r="D8" s="24" t="str">
        <x:f>IF(AND(AND(COUNTIFS(Sources!$A$23:$A$65,"SOO-C §1.2 / OM-B")=1,COUNTIFS(Sources!$A$23:$A$65,"SOO-C §1.2 / OM-B",Sources!$C$23:$C$65,"&lt;&gt;")=1),AND(COUNTIFS(Sources!$A$23:$A$65,"CFG-1 / CFG-2 M02")=1,COUNTIFS(Sources!$A$23:$A$65,"CFG-1 / CFG-2 M02",Sources!$C$23:$C$65,"&lt;&gt;")=1)),"Records received","Source missing")</x:f>
        <x:v>Records received</x:v>
      </x:c>
      <x:c r="E8" s="35" t="str">
        <x:v>Confirmed</x:v>
      </x:c>
      <x:c r="F8" s="24" t="str">
        <x:f>IF(AND(D8="Records received",E8="Confirmed"),"Aligned in records","Review required")</x:f>
        <x:v>Aligned in records</x:v>
      </x:c>
    </x:row>
    <x:row r="9" ht="48" customHeight="1">
      <x:c r="A9" s="27" t="str">
        <x:v>M03</x:v>
      </x:c>
      <x:c r="B9" s="21" t="str">
        <x:v>Normal economizer damper sequence</x:v>
      </x:c>
      <x:c r="C9" s="21" t="str">
        <x:v>Aligned in records</x:v>
      </x:c>
      <x:c r="D9" s="21" t="str">
        <x:f>IF(AND(AND(COUNTIFS(Sources!$A$23:$A$65,"SOO-C §3.1 / SD-C")=1,COUNTIFS(Sources!$A$23:$A$65,"SOO-C §3.1 / SD-C",Sources!$C$23:$C$65,"&lt;&gt;")=1),AND(COUNTIFS(Sources!$A$23:$A$65,"CFG-1 / CFG-2 M03")=1,COUNTIFS(Sources!$A$23:$A$65,"CFG-1 / CFG-2 M03",Sources!$C$23:$C$65,"&lt;&gt;")=1)),"Records received","Source missing")</x:f>
        <x:v>Records received</x:v>
      </x:c>
      <x:c r="E9" s="35" t="str">
        <x:v>Confirmed</x:v>
      </x:c>
      <x:c r="F9" s="21" t="str">
        <x:f>IF(AND(D9="Records received",E9="Confirmed"),"Aligned in records","Review required")</x:f>
        <x:v>Aligned in records</x:v>
      </x:c>
    </x:row>
    <x:row r="10" ht="25" customHeight="1">
      <x:c r="A10" s="2"/>
      <x:c r="B10" s="2"/>
      <x:c r="C10" s="2"/>
      <x:c r="D10" s="2"/>
      <x:c r="E10" s="2"/>
      <x:c r="F10" s="2"/>
    </x:row>
    <x:row r="11" ht="40" customHeight="1">
      <x:c r="A11" s="7" t="str">
        <x:v>Automated checks verify record presence and the specific typed values shown below. Text interpretation requires a Confirmed human decision. M02/M03 record agreement does not prove airflow or damper travel.</x:v>
      </x:c>
      <x:c r="B11" s="7" t="str">
        <x:v>Automated checks verify record presence and the specific typed values shown below. Text interpretation requires a Confirmed human decision. M02/M03 record agreement does not prove airflow or damper travel.</x:v>
      </x:c>
      <x:c r="C11" s="7" t="str">
        <x:v>Automated checks verify record presence and the specific typed values shown below. Text interpretation requires a Confirmed human decision. M02/M03 record agreement does not prove airflow or damper travel.</x:v>
      </x:c>
      <x:c r="D11" s="7" t="str">
        <x:v>Automated checks verify record presence and the specific typed values shown below. Text interpretation requires a Confirmed human decision. M02/M03 record agreement does not prove airflow or damper travel.</x:v>
      </x:c>
      <x:c r="E11" s="7" t="str">
        <x:v>Automated checks verify record presence and the specific typed values shown below. Text interpretation requires a Confirmed human decision. M02/M03 record agreement does not prove airflow or damper travel.</x:v>
      </x:c>
      <x:c r="F11" s="7" t="str">
        <x:v>Automated checks verify record presence and the specific typed values shown below. Text interpretation requires a Confirmed human decision. M02/M03 record agreement does not prove airflow or damper travel.</x:v>
      </x:c>
    </x:row>
    <x:row r="12" ht="25" customHeight="1">
      <x:c r="A12" s="2"/>
      <x:c r="B12" s="2"/>
      <x:c r="C12" s="2"/>
      <x:c r="D12" s="2"/>
      <x:c r="E12" s="2"/>
      <x:c r="F12" s="2"/>
    </x:row>
    <x:row r="13" ht="25" customHeight="1">
      <x:c r="A13" s="2"/>
      <x:c r="B13" s="2"/>
      <x:c r="C13" s="2"/>
      <x:c r="D13" s="2"/>
      <x:c r="E13" s="2"/>
      <x:c r="F13" s="2"/>
    </x:row>
    <x:row r="14" ht="30" customHeight="1">
      <x:c r="A14" s="30" t="str">
        <x:v>M01. AHU command / supply-fan status monitoring</x:v>
      </x:c>
      <x:c r="B14" s="30" t="str">
        <x:v>M01. AHU command / supply-fan status monitoring</x:v>
      </x:c>
      <x:c r="C14" s="30" t="str">
        <x:v>M01. AHU command / supply-fan status monitoring</x:v>
      </x:c>
      <x:c r="D14" s="30" t="str">
        <x:v>M01. AHU command / supply-fan status monitoring</x:v>
      </x:c>
      <x:c r="E14" s="30" t="str">
        <x:v>M01. AHU command / supply-fan status monitoring</x:v>
      </x:c>
      <x:c r="F14" s="30" t="str">
        <x:v>M01. AHU command / supply-fan status monitoring</x:v>
      </x:c>
    </x:row>
    <x:row r="15" ht="36" customHeight="1">
      <x:c r="A15" s="38" t="str">
        <x:v>Initial test record</x:v>
      </x:c>
      <x:c r="B15" s="38" t="str">
        <x:v>Initial test record</x:v>
      </x:c>
      <x:c r="C15" s="38" t="str">
        <x:f>IF(COUNTIFS(Sources!$A$23:$A$65,"TR-1 T01")&lt;&gt;1,"Source missing",INDEX(Sources!$C$23:$C$65,MATCH("TR-1 T01",Sources!$A$23:$A$65,0)))</x:f>
        <x:v>Alarm displayed; event times not recorded</x:v>
      </x:c>
      <x:c r="D15" s="38"/>
      <x:c r="E15" s="38"/>
      <x:c r="F15" s="38"/>
    </x:row>
    <x:row r="16" ht="58" customHeight="1">
      <x:c r="A16" s="38" t="str">
        <x:v>Approved onset and reset rule</x:v>
      </x:c>
      <x:c r="B16" s="38" t="str">
        <x:v>Approved onset and reset rule</x:v>
      </x:c>
      <x:c r="C16" s="38" t="str">
        <x:f>IF(COUNTIFS(Sources!$A$23:$A$65,"SOO-D §4.1")&lt;&gt;1,"Source missing",INDEX(Sources!$C$23:$C$65,MATCH("SOO-D §4.1",Sources!$A$23:$A$65,0)))</x:f>
        <x:v>Common AHU command AHU02.AHU_CMD ON and run status AHU02.RUN OFF continuously for 60 s; command OFF or run ON resets timing. Alarm is a monitoring function of the common AHU command / supply-fan status pair, not an independent registered point.</x:v>
      </x:c>
      <x:c r="D16" s="38"/>
      <x:c r="E16" s="38"/>
      <x:c r="F16" s="38"/>
    </x:row>
    <x:row r="17" ht="25" customHeight="1">
      <x:c r="A17" s="2"/>
      <x:c r="B17" s="2"/>
      <x:c r="C17" s="2"/>
      <x:c r="D17" s="2"/>
      <x:c r="E17" s="2"/>
      <x:c r="F17" s="2"/>
    </x:row>
    <x:row r="18" ht="34" customHeight="1">
      <x:c r="A18" s="38" t="str">
        <x:v>AHU command OFF-to-ON</x:v>
      </x:c>
      <x:c r="B18" s="38" t="str">
        <x:v>AHU command OFF-to-ON</x:v>
      </x:c>
      <x:c r="C18" s="42" t="n">
        <x:f>IF(COUNTIFS(Sources!$A$23:$A$65,"TR-2 T01 start")&lt;&gt;1,"Source missing",INDEX(Sources!$C$23:$C$65,MATCH("TR-2 T01 start",Sources!$A$23:$A$65,0)))</x:f>
        <x:v>46305.416666666664</x:v>
      </x:c>
      <x:c r="D18" s="38" t="str">
        <x:v>Alarm OFF-to-ON</x:v>
      </x:c>
      <x:c r="E18" s="38" t="str">
        <x:v>Alarm OFF-to-ON</x:v>
      </x:c>
      <x:c r="F18" s="41" t="n">
        <x:f>IF(COUNTIFS(Sources!$A$23:$A$65,"TR-2 T01 onset")&lt;&gt;1,"Source missing",INDEX(Sources!$C$23:$C$65,MATCH("TR-2 T01 onset",Sources!$A$23:$A$65,0)))</x:f>
        <x:v>46305.41736111111</x:v>
      </x:c>
    </x:row>
    <x:row r="19" ht="25" customHeight="1">
      <x:c r="A19" s="38" t="str">
        <x:v>Calculated elapsed (s)</x:v>
      </x:c>
      <x:c r="B19" s="38" t="str">
        <x:v>Calculated elapsed (s)</x:v>
      </x:c>
      <x:c r="C19" s="39" t="n">
        <x:f>IF(AND(ISNUMBER(C18),ISNUMBER(F18),F18&gt;C18),ROUND((F18-C18)*86400,0),"Not recorded")</x:f>
        <x:v>60</x:v>
      </x:c>
      <x:c r="D19" s="38" t="str">
        <x:v>Recorded elapsed (s)</x:v>
      </x:c>
      <x:c r="E19" s="38" t="str">
        <x:v>Recorded elapsed (s)</x:v>
      </x:c>
      <x:c r="F19" s="2" t="n">
        <x:f>IF(COUNTIFS(Sources!$A$23:$A$65,"TR-2 T01 elapsed")&lt;&gt;1,"Source missing",INDEX(Sources!$C$23:$C$65,MATCH("TR-2 T01 elapsed",Sources!$A$23:$A$65,0)))</x:f>
        <x:v>60</x:v>
      </x:c>
    </x:row>
    <x:row r="20" ht="25" customHeight="1">
      <x:c r="A20" s="38" t="str">
        <x:v>Required delay (s)</x:v>
      </x:c>
      <x:c r="B20" s="38" t="str">
        <x:v>Required delay (s)</x:v>
      </x:c>
      <x:c r="C20" s="39" t="n">
        <x:v>60</x:v>
      </x:c>
      <x:c r="D20" s="38" t="str">
        <x:v>Timing comparison</x:v>
      </x:c>
      <x:c r="E20" s="38" t="str">
        <x:v>Timing comparison</x:v>
      </x:c>
      <x:c r="F20" s="2" t="str">
        <x:f>IF(AND(ISNUMBER(C19),ISNUMBER(F19),C19=C20,F19=C20),"Aligned","Review required")</x:f>
        <x:v>Aligned</x:v>
      </x:c>
    </x:row>
    <x:row r="21" ht="44" customHeight="1">
      <x:c r="A21" s="38" t="str">
        <x:v>AHU command before and after</x:v>
      </x:c>
      <x:c r="B21" s="38" t="str">
        <x:v>AHU command before and after</x:v>
      </x:c>
      <x:c r="C21" s="38" t="str">
        <x:f>IF(COUNTIFS(Sources!$A$23:$A$65,"TR-2 T01 command")&lt;&gt;1,"Source missing",INDEX(Sources!$C$23:$C$65,MATCH("TR-2 T01 command",Sources!$A$23:$A$65,0)))</x:f>
        <x:v>OFF from 09:59:45 until immediately before 10:00:00. OFF-to-ON at 10:00:00. ON continuously from 10:00:00 through 10:01:00.</x:v>
      </x:c>
      <x:c r="D21" s="38"/>
      <x:c r="E21" s="38"/>
      <x:c r="F21" s="38"/>
    </x:row>
    <x:row r="22" ht="44" customHeight="1">
      <x:c r="A22" s="38" t="str">
        <x:v>SF status before and during</x:v>
      </x:c>
      <x:c r="B22" s="38" t="str">
        <x:v>SF status before and during</x:v>
      </x:c>
      <x:c r="C22" s="38" t="str">
        <x:f>IF(COUNTIFS(Sources!$A$23:$A$65,"TR-2 T01 run")&lt;&gt;1,"Source missing",INDEX(Sources!$C$23:$C$65,MATCH("TR-2 T01 run",Sources!$A$23:$A$65,0)))</x:f>
        <x:v>OFF continuously from 09:59:45 through 10:01:00, including the command OFF-to-ON transition at 10:00:00.</x:v>
      </x:c>
      <x:c r="D22" s="38"/>
      <x:c r="E22" s="38"/>
      <x:c r="F22" s="38"/>
    </x:row>
    <x:row r="23" ht="44" customHeight="1">
      <x:c r="A23" s="38" t="str">
        <x:v>Alarm before and at onset</x:v>
      </x:c>
      <x:c r="B23" s="38" t="str">
        <x:v>Alarm before and at onset</x:v>
      </x:c>
      <x:c r="C23" s="38" t="str">
        <x:f>IF(COUNTIFS(Sources!$A$23:$A$65,"TR-2 T01 before")&lt;&gt;1,"Source missing",INDEX(Sources!$C$23:$C$65,MATCH("TR-2 T01 before",Sources!$A$23:$A$65,0)))</x:f>
        <x:v>OFF from 09:59:45 until immediately before 10:01:00. OFF-to-ON at 10:01:00, 60 s after the AHU command rising edge.</x:v>
      </x:c>
      <x:c r="D23" s="38"/>
      <x:c r="E23" s="38"/>
      <x:c r="F23" s="38"/>
    </x:row>
    <x:row r="24" ht="36" customHeight="1">
      <x:c r="A24" s="7" t="str">
        <x:v>60 s is the SOO-C / SOO-D §4.1 requirement. Timer reset, reverse mismatch and return-fan functional tests were not tested in this example.</x:v>
      </x:c>
      <x:c r="B24" s="7" t="str">
        <x:v>60 s is the SOO-C / SOO-D §4.1 requirement. Timer reset, reverse mismatch and return-fan functional tests were not tested in this example.</x:v>
      </x:c>
      <x:c r="C24" s="7" t="str">
        <x:v>60 s is the SOO-C / SOO-D §4.1 requirement. Timer reset, reverse mismatch and return-fan functional tests were not tested in this example.</x:v>
      </x:c>
      <x:c r="D24" s="7" t="str">
        <x:v>60 s is the SOO-C / SOO-D §4.1 requirement. Timer reset, reverse mismatch and return-fan functional tests were not tested in this example.</x:v>
      </x:c>
      <x:c r="E24" s="7" t="str">
        <x:v>60 s is the SOO-C / SOO-D §4.1 requirement. Timer reset, reverse mismatch and return-fan functional tests were not tested in this example.</x:v>
      </x:c>
      <x:c r="F24" s="7" t="str">
        <x:v>60 s is the SOO-C / SOO-D §4.1 requirement. Timer reset, reverse mismatch and return-fan functional tests were not tested in this example.</x:v>
      </x:c>
    </x:row>
    <x:row r="25" ht="36" customHeight="1">
      <x:c r="A25" s="38" t="str">
        <x:v>Timing and record presence</x:v>
      </x:c>
      <x:c r="B25" s="38" t="str">
        <x:v>Timing and record presence</x:v>
      </x:c>
      <x:c r="C25" s="38" t="str">
        <x:f>IF(AND(F20="Aligned",AND(COUNTIFS(Sources!$A$23:$A$65,"TR-2 T01 command")=1,COUNTIFS(Sources!$A$23:$A$65,"TR-2 T01 command",Sources!$C$23:$C$65,"&lt;&gt;")=1),AND(COUNTIFS(Sources!$A$23:$A$65,"TR-2 T01 run")=1,COUNTIFS(Sources!$A$23:$A$65,"TR-2 T01 run",Sources!$C$23:$C$65,"&lt;&gt;")=1),AND(COUNTIFS(Sources!$A$23:$A$65,"TR-2 T01 before")=1,COUNTIFS(Sources!$A$23:$A$65,"TR-2 T01 before",Sources!$C$23:$C$65,"&lt;&gt;")=1),AND(COUNTIFS(Sources!$A$23:$A$65,"TR-2 T01 mode")=1,COUNTIFS(Sources!$A$23:$A$65,"TR-2 T01 mode",Sources!$C$23:$C$65,"&lt;&gt;")=1),AND(COUNTIFS(Sources!$A$23:$A$65,"SOO-C §4.1")=1,COUNTIFS(Sources!$A$23:$A$65,"SOO-C §4.1",Sources!$C$23:$C$65,"&lt;&gt;")=1),AND(COUNTIFS(Sources!$A$23:$A$65,"SOO-D §4.1")=1,COUNTIFS(Sources!$A$23:$A$65,"SOO-D §4.1",Sources!$C$23:$C$65,"&lt;&gt;")=1),IF(COUNTIFS(Sources!$A$23:$A$65,"SOO-C §4.1")&lt;&gt;1,"Source missing",INDEX(Sources!$C$23:$C$65,MATCH("SOO-C §4.1",Sources!$A$23:$A$65,0)))=IF(COUNTIFS(Sources!$A$23:$A$65,"SOO-D §4.1")&lt;&gt;1,"Source missing",INDEX(Sources!$C$23:$C$65,MATCH("SOO-D §4.1",Sources!$A$23:$A$65,0)))),"Aligned","Review required")</x:f>
        <x:v>Aligned</x:v>
      </x:c>
      <x:c r="D25" s="38"/>
      <x:c r="E25" s="38"/>
      <x:c r="F25" s="38"/>
    </x:row>
    <x:row r="26" ht="50" customHeight="1">
      <x:c r="A26" s="38" t="str">
        <x:v>Test mode</x:v>
      </x:c>
      <x:c r="B26" s="38" t="str">
        <x:v>Test mode</x:v>
      </x:c>
      <x:c r="C26" s="38" t="str">
        <x:f>IF(COUNTIFS(Sources!$A$23:$A$65,"TR-2 T01 mode")&lt;&gt;1,"Source missing",INDEX(Sources!$C$23:$C$65,MATCH("TR-2 T01 mode",Sources!$A$23:$A$65,0)))</x:f>
        <x:v>Manual commissioning/test mode. Schedule control did not apply during this test. The common AHU command switched OFF-to-ON at 10:00:00. SF run status was recorded OFF throughout.</x:v>
      </x:c>
      <x:c r="D26" s="38"/>
      <x:c r="E26" s="38"/>
      <x:c r="F26" s="38"/>
    </x:row>
    <x:row r="27" ht="25" customHeight="1">
      <x:c r="A27" s="2"/>
      <x:c r="B27" s="2"/>
      <x:c r="C27" s="2"/>
      <x:c r="D27" s="2"/>
      <x:c r="E27" s="2"/>
      <x:c r="F27" s="2"/>
    </x:row>
    <x:row r="28" ht="30" customHeight="1">
      <x:c r="A28" s="30" t="str">
        <x:v>M02 and M03. Required and configured records</x:v>
      </x:c>
      <x:c r="B28" s="30" t="str">
        <x:v>M02 and M03. Required and configured records</x:v>
      </x:c>
      <x:c r="C28" s="30" t="str">
        <x:v>M02 and M03. Required and configured records</x:v>
      </x:c>
      <x:c r="D28" s="30" t="str">
        <x:v>M02 and M03. Required and configured records</x:v>
      </x:c>
      <x:c r="E28" s="30" t="str">
        <x:v>M02 and M03. Required and configured records</x:v>
      </x:c>
      <x:c r="F28" s="30" t="str">
        <x:v>M02 and M03. Required and configured records</x:v>
      </x:c>
    </x:row>
    <x:row r="29" ht="57" customHeight="1">
      <x:c r="A29" s="38" t="str">
        <x:v>M02 approved schedule</x:v>
      </x:c>
      <x:c r="B29" s="38" t="str">
        <x:v>M02 approved schedule</x:v>
      </x:c>
      <x:c r="C29" s="38" t="str">
        <x:f>IF(COUNTIFS(Sources!$A$23:$A$65,"SOO-C §1.2 / OM-B")&lt;&gt;1,"Source missing",INDEX(Sources!$C$23:$C$65,MATCH("SOO-C §1.2 / OM-B",Sources!$A$23:$A$65,0)))</x:f>
        <x:v>Monday-Friday 08:00 Start, 18:00 Stop. Saturday/Sunday Stop. Exception calendar: no dates in the review period. Manual commands follow the operating-mode priority.</x:v>
      </x:c>
      <x:c r="D29" s="38"/>
      <x:c r="E29" s="38"/>
      <x:c r="F29" s="38"/>
    </x:row>
    <x:row r="30" ht="57" customHeight="1">
      <x:c r="A30" s="38" t="str">
        <x:v>M02 CFG-1 / CFG-2 record</x:v>
      </x:c>
      <x:c r="B30" s="38" t="str">
        <x:v>M02 CFG-1 / CFG-2 record</x:v>
      </x:c>
      <x:c r="C30" s="38" t="str">
        <x:f>IF(COUNTIFS(Sources!$A$23:$A$65,"CFG-1 / CFG-2 M02")&lt;&gt;1,"Source missing",INDEX(Sources!$C$23:$C$65,MATCH("CFG-1 / CFG-2 M02",Sources!$A$23:$A$65,0)))</x:f>
        <x:v>Monday-Friday 08:00 Start, 18:00 Stop. Saturday/Sunday Stop. Exception calendar: no dates in the review period. Applies to AHU-02 Auto mode.</x:v>
      </x:c>
      <x:c r="D30" s="38"/>
      <x:c r="E30" s="38"/>
      <x:c r="F30" s="38"/>
    </x:row>
    <x:row r="31" ht="57" customHeight="1">
      <x:c r="A31" s="38" t="str">
        <x:v>M03 approved sequence</x:v>
      </x:c>
      <x:c r="B31" s="38" t="str">
        <x:v>M03 approved sequence</x:v>
      </x:c>
      <x:c r="C31" s="38" t="str">
        <x:f>IF(COUNTIFS(Sources!$A$23:$A$65,"SOO-C §3.1 / SD-C")&lt;&gt;1,"Source missing",INDEX(Sources!$C$23:$C$65,MATCH("SOO-C §3.1 / SD-C",Sources!$A$23:$A$65,0)))</x:f>
        <x:v>OA and EA commands = u; RA command = 100-u, where u is the effective OA command in %. Individual AO channels. Normal occupied operation only; stop and protective overrides follow the approved sequence.</x:v>
      </x:c>
      <x:c r="D31" s="38"/>
      <x:c r="E31" s="38"/>
      <x:c r="F31" s="38"/>
    </x:row>
    <x:row r="32" ht="47" customHeight="1">
      <x:c r="A32" s="38" t="str">
        <x:v>M03 CFG-1 / CFG-2 record</x:v>
      </x:c>
      <x:c r="B32" s="38" t="str">
        <x:v>M03 CFG-1 / CFG-2 record</x:v>
      </x:c>
      <x:c r="C32" s="38" t="str">
        <x:f>IF(COUNTIFS(Sources!$A$23:$A$65,"CFG-1 / CFG-2 M03")&lt;&gt;1,"Source missing",INDEX(Sources!$C$23:$C$65,MATCH("CFG-1 / CFG-2 M03",Sources!$A$23:$A$65,0)))</x:f>
        <x:v>OA=u; EA=u; RA=100-u. Individual AO channels confirmed in the supplied records.</x:v>
      </x:c>
      <x:c r="D32" s="38"/>
      <x:c r="E32" s="38"/>
      <x:c r="F32" s="38"/>
    </x:row>
    <x:row r="33" ht="25" customHeight="1">
      <x:c r="A33" s="2"/>
      <x:c r="B33" s="2"/>
      <x:c r="C33" s="2"/>
      <x:c r="D33" s="2"/>
      <x:c r="E33" s="2"/>
      <x:c r="F33" s="2"/>
    </x:row>
    <x:row r="34" ht="25" customHeight="1">
      <x:c r="A34" s="2"/>
      <x:c r="B34" s="2"/>
      <x:c r="C34" s="2"/>
      <x:c r="D34" s="2"/>
      <x:c r="E34" s="2"/>
      <x:c r="F34" s="2"/>
    </x:row>
    <x:row r="35" ht="30" customHeight="1">
      <x:c r="A35" s="30" t="str">
        <x:v>Engineering settings outside the value-assessment scope</x:v>
      </x:c>
      <x:c r="B35" s="30" t="str">
        <x:v>Engineering settings outside the value-assessment scope</x:v>
      </x:c>
      <x:c r="C35" s="30" t="str">
        <x:v>Engineering settings outside the value-assessment scope</x:v>
      </x:c>
      <x:c r="D35" s="30" t="str">
        <x:v>Engineering settings outside the value-assessment scope</x:v>
      </x:c>
      <x:c r="E35" s="30" t="str">
        <x:v>Engineering settings outside the value-assessment scope</x:v>
      </x:c>
      <x:c r="F35" s="30" t="str">
        <x:v>Engineering settings outside the value-assessment scope</x:v>
      </x:c>
    </x:row>
    <x:row r="36" ht="44" customHeight="1">
      <x:c r="A36" s="16" t="str">
        <x:v>Item</x:v>
      </x:c>
      <x:c r="B36" s="17" t="str">
        <x:v>Setting</x:v>
      </x:c>
      <x:c r="C36" s="17" t="str">
        <x:v>Value received</x:v>
      </x:c>
      <x:c r="D36" s="17" t="str">
        <x:v>Assessment</x:v>
      </x:c>
      <x:c r="E36" s="17" t="str">
        <x:v>Related review</x:v>
      </x:c>
      <x:c r="F36" s="18" t="str">
        <x:v>Scope</x:v>
      </x:c>
    </x:row>
    <x:row r="37" ht="70" customHeight="1">
      <x:c r="A37" s="27" t="str">
        <x:v>C01</x:v>
      </x:c>
      <x:c r="B37" s="21" t="str">
        <x:v>Freeze-protection activation threshold</x:v>
      </x:c>
      <x:c r="C37" s="21" t="str">
        <x:v>Not supplied</x:v>
      </x:c>
      <x:c r="D37" s="21" t="str">
        <x:v>Not assessed</x:v>
      </x:c>
      <x:c r="E37" s="21" t="str">
        <x:v>F02 checks enabled-status display</x:v>
      </x:c>
      <x:c r="F37" s="21" t="str">
        <x:v>Value assessment outside this sample; enabled-status indication is reviewed under F02.</x:v>
      </x:c>
    </x:row>
    <x:row r="38" ht="70" customHeight="1">
      <x:c r="A38" s="28" t="str">
        <x:v>C02</x:v>
      </x:c>
      <x:c r="B38" s="24" t="str">
        <x:v>Economizer outdoor-temperature lower limit</x:v>
      </x:c>
      <x:c r="C38" s="24" t="str">
        <x:v>Not supplied</x:v>
      </x:c>
      <x:c r="D38" s="24" t="str">
        <x:v>Not assessed</x:v>
      </x:c>
      <x:c r="E38" s="24" t="str">
        <x:v>M03 checks normal damper relation</x:v>
      </x:c>
      <x:c r="F38" s="24" t="str">
        <x:v>Value assessment outside this sample; normal damper relation is reviewed under M03.</x:v>
      </x:c>
    </x:row>
    <x:row r="39" ht="70" customHeight="1">
      <x:c r="A39" s="27" t="str">
        <x:v>C03</x:v>
      </x:c>
      <x:c r="B39" s="21" t="str">
        <x:v>Supply-temperature proportional band</x:v>
      </x:c>
      <x:c r="C39" s="21" t="str">
        <x:v>Not supplied</x:v>
      </x:c>
      <x:c r="D39" s="21" t="str">
        <x:v>Not assessed</x:v>
      </x:c>
      <x:c r="E39" s="21" t="str">
        <x:v>F03 checks SAT setpoint approval</x:v>
      </x:c>
      <x:c r="F39" s="21" t="str">
        <x:v>Tuning assessment outside this sample; SAT setpoint and its approval are reviewed under F03.</x:v>
      </x:c>
    </x:row>
    <x:row r="40" ht="25" customHeight="1">
      <x:c r="A40" s="2"/>
      <x:c r="B40" s="2"/>
      <x:c r="C40" s="2"/>
      <x:c r="D40" s="2"/>
      <x:c r="E40" s="2"/>
      <x:c r="F40" s="2"/>
    </x:row>
    <x:row r="41" ht="25" customHeight="1">
      <x:c r="A41" s="2"/>
      <x:c r="B41" s="2"/>
      <x:c r="C41" s="2"/>
      <x:c r="D41" s="2"/>
      <x:c r="E41" s="2"/>
      <x:c r="F41" s="2"/>
    </x:row>
    <x:row r="42" ht="30" customHeight="1">
      <x:c r="A42" s="30" t="str">
        <x:v>Case system and boundaries</x:v>
      </x:c>
      <x:c r="B42" s="30" t="str">
        <x:v>Case system and boundaries</x:v>
      </x:c>
      <x:c r="C42" s="30" t="str">
        <x:v>Case system and boundaries</x:v>
      </x:c>
      <x:c r="D42" s="30" t="str">
        <x:v>Case system and boundaries</x:v>
      </x:c>
      <x:c r="E42" s="30" t="str">
        <x:v>Case system and boundaries</x:v>
      </x:c>
      <x:c r="F42" s="30" t="str">
        <x:v>Case system and boundaries</x:v>
      </x:c>
    </x:row>
    <x:row r="43" ht="48" customHeight="1">
      <x:c r="A43" s="38" t="str">
        <x:v>System</x:v>
      </x:c>
      <x:c r="B43" s="38" t="str">
        <x:v>System</x:v>
      </x:c>
      <x:c r="C43" s="38" t="str">
        <x:v>Two-pipe constant-volume AHU. Supply fan (SF) + return fan (RF), linked by the common AHU start/stop command. One shared chilled/hot-water coil and one valve. Seasonal heating/cooling changeover.</x:v>
      </x:c>
      <x:c r="D43" s="38" t="str">
        <x:v>Two-pipe constant-volume AHU. Supply fan (SF) + return fan (RF), linked by the common AHU start/stop command. One shared chilled/hot-water coil and one valve. Seasonal heating/cooling changeover.</x:v>
      </x:c>
      <x:c r="E43" s="38" t="str">
        <x:v>Two-pipe constant-volume AHU. Supply fan (SF) + return fan (RF), linked by the common AHU start/stop command. One shared chilled/hot-water coil and one valve. Seasonal heating/cooling changeover.</x:v>
      </x:c>
      <x:c r="F43" s="38" t="str">
        <x:v>Two-pipe constant-volume AHU. Supply fan (SF) + return fan (RF), linked by the common AHU start/stop command. One shared chilled/hot-water coil and one valve. Seasonal heating/cooling changeover.</x:v>
      </x:c>
    </x:row>
    <x:row r="44" ht="36" customHeight="1">
      <x:c r="A44" s="38" t="str">
        <x:v>Return path</x:v>
      </x:c>
      <x:c r="B44" s="38" t="str">
        <x:v>Return path</x:v>
      </x:c>
      <x:c r="C44" s="38" t="str">
        <x:v>Room -&gt; return fan -&gt; EA/RA split</x:v>
      </x:c>
      <x:c r="D44" s="38" t="str">
        <x:v>Room -&gt; return fan -&gt; EA/RA split</x:v>
      </x:c>
      <x:c r="E44" s="38" t="str">
        <x:v>Room -&gt; return fan -&gt; EA/RA split</x:v>
      </x:c>
      <x:c r="F44" s="38" t="str">
        <x:v>Room -&gt; return fan -&gt; EA/RA split</x:v>
      </x:c>
    </x:row>
    <x:row r="45" ht="36" customHeight="1">
      <x:c r="A45" s="38" t="str">
        <x:v>Dampers</x:v>
      </x:c>
      <x:c r="B45" s="38" t="str">
        <x:v>Dampers</x:v>
      </x:c>
      <x:c r="C45" s="38" t="str">
        <x:v>OA, EA and RA. No motorized SA damper.</x:v>
      </x:c>
      <x:c r="D45" s="38" t="str">
        <x:v>OA, EA and RA. No motorized SA damper.</x:v>
      </x:c>
      <x:c r="E45" s="38" t="str">
        <x:v>OA, EA and RA. No motorized SA damper.</x:v>
      </x:c>
      <x:c r="F45" s="38" t="str">
        <x:v>OA, EA and RA. No motorized SA damper.</x:v>
      </x:c>
    </x:row>
    <x:row r="46" ht="36" customHeight="1">
      <x:c r="A46" s="38" t="str">
        <x:v>Normal operation</x:v>
      </x:c>
      <x:c r="B46" s="38" t="str">
        <x:v>Normal operation</x:v>
      </x:c>
      <x:c r="C46" s="38" t="str">
        <x:v>Three individual AO channels. OA = EA = u; RA = 100-u in normal economizer operation.</x:v>
      </x:c>
      <x:c r="D46" s="38" t="str">
        <x:v>Three individual AO channels. OA = EA = u; RA = 100-u in normal economizer operation.</x:v>
      </x:c>
      <x:c r="E46" s="38" t="str">
        <x:v>Three individual AO channels. OA = EA = u; RA = 100-u in normal economizer operation.</x:v>
      </x:c>
      <x:c r="F46" s="38" t="str">
        <x:v>Three individual AO channels. OA = EA = u; RA = 100-u in normal economizer operation.</x:v>
      </x:c>
    </x:row>
    <x:row r="47" ht="48" customHeight="1">
      <x:c r="A47" s="38" t="str">
        <x:v>Temperature control</x:v>
      </x:c>
      <x:c r="B47" s="38" t="str">
        <x:v>Temperature control</x:v>
      </x:c>
      <x:c r="C47" s="38" t="str">
        <x:v>Supply-air temperature control through one chilled/hot-water valve on a shared coil, with seasonal heating/cooling changeover. Return-air temperature monitoring. No room-temperature point.</x:v>
      </x:c>
      <x:c r="D47" s="38" t="str">
        <x:v>Supply-air temperature control through one chilled/hot-water valve on a shared coil, with seasonal heating/cooling changeover. Return-air temperature monitoring. No room-temperature point.</x:v>
      </x:c>
      <x:c r="E47" s="38" t="str">
        <x:v>Supply-air temperature control through one chilled/hot-water valve on a shared coil, with seasonal heating/cooling changeover. Return-air temperature monitoring. No room-temperature point.</x:v>
      </x:c>
      <x:c r="F47" s="38" t="str">
        <x:v>Supply-air temperature control through one chilled/hot-water valve on a shared coil, with seasonal heating/cooling changeover. Return-air temperature monitoring. No room-temperature point.</x:v>
      </x:c>
    </x:row>
    <x:row r="48" ht="48" customHeight="1">
      <x:c r="A48" s="38" t="str">
        <x:v>AHU start/stop</x:v>
      </x:c>
      <x:c r="B48" s="38" t="str">
        <x:v>AHU start/stop</x:v>
      </x:c>
      <x:c r="C48" s="38" t="str">
        <x:v>P01 / AHU02.AHU_CMD is the common AHU start/stop command. SF and RF operate together under the approved sequence. No separate return-fan start/stop point is registered.</x:v>
      </x:c>
      <x:c r="D48" s="38" t="str">
        <x:v>P01 / AHU02.AHU_CMD is the common AHU start/stop command. SF and RF operate together under the approved sequence. No separate return-fan start/stop point is registered.</x:v>
      </x:c>
      <x:c r="E48" s="38" t="str">
        <x:v>P01 / AHU02.AHU_CMD is the common AHU start/stop command. SF and RF operate together under the approved sequence. No separate return-fan start/stop point is registered.</x:v>
      </x:c>
      <x:c r="F48" s="38" t="str">
        <x:v>P01 / AHU02.AHU_CMD is the common AHU start/stop command. SF and RF operate together under the approved sequence. No separate return-fan start/stop point is registered.</x:v>
      </x:c>
    </x:row>
    <x:row r="49" ht="62" customHeight="1">
      <x:c r="A49" s="38" t="str">
        <x:v>Review boundaries</x:v>
      </x:c>
      <x:c r="B49" s="38" t="str">
        <x:v>Review boundaries</x:v>
      </x:c>
      <x:c r="C49" s="38" t="str">
        <x:f>IF(COUNTIFS(Sources!$A$23:$A$65,"Scope exclusion")&lt;&gt;1,"Source missing",INDEX(Sources!$C$23:$C$65,MATCH("Scope exclusion",Sources!$A$23:$A$65,0)))</x:f>
        <x:v>Registered-point review covers all 28 defined points. Function review covers supplied records for M01-M03. It does not certify all control functions or site acceptance. Supply-fan reverse mismatch and timer reset were not tested. Return-fan functional testing is outside this example. Humidification performance and the fan-stop humidifier interlock were not tested in this example.</x:v>
      </x:c>
      <x:c r="D49" s="38"/>
      <x:c r="E49" s="38"/>
      <x:c r="F49" s="38"/>
    </x:row>
    <x:row r="50" ht="78" customHeight="1">
      <x:c r="A50" s="38" t="str">
        <x:v>Humidity control</x:v>
      </x:c>
      <x:c r="B50" s="38" t="str">
        <x:v>Humidity control</x:v>
      </x:c>
      <x:c r="C50" s="38" t="str">
        <x:v>A two-position ON/OFF humidifier is downstream of the shared chilled/hot-water coil. Return-air humidity determines demand. Output is OFF when disabled, when SF is stopped, or when there is no humidity demand. P28 is equipment run feedback, independent of output P26.</x:v>
      </x:c>
      <x:c r="D50" s="38" t="str">
        <x:v>A two-position ON/OFF humidifier is downstream of the shared chilled/hot-water coil. Return-air humidity determines demand. Output is OFF when disabled, when SF is stopped, or when there is no humidity demand. P28 is equipment run feedback, independent of output P26.</x:v>
      </x:c>
      <x:c r="E50" s="38" t="str">
        <x:v>A two-position ON/OFF humidifier is downstream of the shared chilled/hot-water coil. Return-air humidity determines demand. Output is OFF when disabled, when SF is stopped, or when there is no humidity demand. P28 is equipment run feedback, independent of output P26.</x:v>
      </x:c>
      <x:c r="F50" s="38" t="str">
        <x:v>A two-position ON/OFF humidifier is downstream of the shared chilled/hot-water coil. Return-air humidity determines demand. Output is OFF when disabled, when SF is stopped, or when there is no humidity demand. P28 is equipment run feedback, independent of output P26.</x:v>
      </x:c>
    </x:row>
    <x:row r="51" ht="44" customHeight="1">
      <x:c r="A51" s="38" t="str">
        <x:v>Operating mode</x:v>
      </x:c>
      <x:c r="B51" s="38" t="str">
        <x:v>Operating mode</x:v>
      </x:c>
      <x:c r="C51" s="38" t="str">
        <x:v>P21 selects Off / Auto / Manual for AHU operation. It is separate from the heating/cooling state shown by P16.</x:v>
      </x:c>
      <x:c r="D51" s="38" t="str">
        <x:v>P21 selects Off / Auto / Manual for AHU operation. It is separate from the heating/cooling state shown by P16.</x:v>
      </x:c>
      <x:c r="E51" s="38" t="str">
        <x:v>P21 selects Off / Auto / Manual for AHU operation. It is separate from the heating/cooling state shown by P16.</x:v>
      </x:c>
      <x:c r="F51" s="38" t="str">
        <x:v>P21 selects Off / Auto / Manual for AHU operation. It is separate from the heating/cooling state shown by P16.</x:v>
      </x:c>
    </x:row>
    <x:row r="52" ht="25" customHeight="1">
      <x:c r="A52" s="2"/>
      <x:c r="B52" s="2"/>
      <x:c r="C52" s="2"/>
      <x:c r="D52" s="2"/>
      <x:c r="E52" s="2"/>
      <x:c r="F52" s="2"/>
    </x:row>
    <x:row r="53" ht="25" customHeight="1">
      <x:c r="A53" s="2"/>
      <x:c r="B53" s="2"/>
      <x:c r="C53" s="2"/>
      <x:c r="D53" s="2"/>
      <x:c r="E53" s="2"/>
      <x:c r="F53" s="2"/>
    </x:row>
    <x:row r="54" ht="30" customHeight="1">
      <x:c r="A54" s="30" t="str">
        <x:v>Illustrative report screen</x:v>
      </x:c>
      <x:c r="B54" s="30" t="str">
        <x:v>Illustrative report screen</x:v>
      </x:c>
      <x:c r="C54" s="30" t="str">
        <x:v>Illustrative report screen</x:v>
      </x:c>
      <x:c r="D54" s="30" t="str">
        <x:v>Illustrative report screen</x:v>
      </x:c>
      <x:c r="E54" s="30" t="str">
        <x:v>Illustrative report screen</x:v>
      </x:c>
      <x:c r="F54" s="30" t="str">
        <x:v>Illustrative report screen</x:v>
      </x:c>
    </x:row>
    <x:row r="55" ht="32" customHeight="1">
      <x:c r="A55"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B55"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C55"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D55"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E55"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F55"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row>
    <x:row r="56" ht="32" customHeight="1">
      <x:c r="A56"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B56"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C56"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D56"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E56"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c r="F56" s="38" t="str">
        <x:v>Illustrative screen: free cooling only, water-valve command 0%, return-air humidity 45%RH, setpoint 40%RH, humidification enabled, output OFF and run status Stopped. Permission does not require output ON without humidity demand. The displayed 23.4°C is from AHU01.SAT in error, not AHU-02. Screen values are not F01–F04 test evidence.</x:v>
      </x:c>
    </x:row>
    <x:row r="57" ht="25" customHeight="1">
      <x:c r="A57" s="2"/>
      <x:c r="B57" s="2"/>
      <x:c r="C57" s="2"/>
      <x:c r="D57" s="2"/>
      <x:c r="E57" s="2"/>
      <x:c r="F57" s="2"/>
    </x:row>
  </x:sheetData>
  <x:mergeCells>
    <x:mergeCell ref="A2:F2"/>
    <x:mergeCell ref="A4:F4"/>
    <x:mergeCell ref="A11:F11"/>
    <x:mergeCell ref="A14:F14"/>
    <x:mergeCell ref="A15:B15"/>
    <x:mergeCell ref="C15:F15"/>
    <x:mergeCell ref="A16:B16"/>
    <x:mergeCell ref="C16:F16"/>
    <x:mergeCell ref="A18:B18"/>
    <x:mergeCell ref="D18:E18"/>
    <x:mergeCell ref="A19:B19"/>
    <x:mergeCell ref="D19:E19"/>
    <x:mergeCell ref="A20:B20"/>
    <x:mergeCell ref="D20:E20"/>
    <x:mergeCell ref="A21:B21"/>
    <x:mergeCell ref="C21:F21"/>
    <x:mergeCell ref="A22:B22"/>
    <x:mergeCell ref="C22:F22"/>
    <x:mergeCell ref="A23:B23"/>
    <x:mergeCell ref="C23:F23"/>
    <x:mergeCell ref="A24:F24"/>
    <x:mergeCell ref="A25:B25"/>
    <x:mergeCell ref="C25:F25"/>
    <x:mergeCell ref="A26:B26"/>
    <x:mergeCell ref="C26:F26"/>
    <x:mergeCell ref="A28:F28"/>
    <x:mergeCell ref="A29:B29"/>
    <x:mergeCell ref="C29:F29"/>
    <x:mergeCell ref="A30:B30"/>
    <x:mergeCell ref="C30:F30"/>
    <x:mergeCell ref="A31:B31"/>
    <x:mergeCell ref="C31:F31"/>
    <x:mergeCell ref="A32:B32"/>
    <x:mergeCell ref="C32:F32"/>
    <x:mergeCell ref="A35:F35"/>
    <x:mergeCell ref="A42:F42"/>
    <x:mergeCell ref="A43:B43"/>
    <x:mergeCell ref="C43:F43"/>
    <x:mergeCell ref="A44:B44"/>
    <x:mergeCell ref="C44:F44"/>
    <x:mergeCell ref="A45:B45"/>
    <x:mergeCell ref="C45:F45"/>
    <x:mergeCell ref="A46:B46"/>
    <x:mergeCell ref="C46:F46"/>
    <x:mergeCell ref="A47:B47"/>
    <x:mergeCell ref="C47:F47"/>
    <x:mergeCell ref="A48:B48"/>
    <x:mergeCell ref="C48:F48"/>
    <x:mergeCell ref="A49:B49"/>
    <x:mergeCell ref="C49:F49"/>
    <x:mergeCell ref="A50:B50"/>
    <x:mergeCell ref="C50:F50"/>
    <x:mergeCell ref="A51:B51"/>
    <x:mergeCell ref="C51:F51"/>
    <x:mergeCell ref="A54:F54"/>
    <x:mergeCell ref="A55:F56"/>
  </x:mergeCells>
  <x:conditionalFormatting sqref="D7:F9">
    <x:cfRule type="containsText" dxfId="28" priority="1" operator="containsText" text="Mismatch"/>
    <x:cfRule type="containsText" dxfId="29" priority="2" operator="containsText" text="Missing"/>
    <x:cfRule type="containsText" dxfId="30" priority="3" operator="containsText" text="Open"/>
    <x:cfRule type="containsText" dxfId="31" priority="4" operator="containsText" text="Not recorded"/>
    <x:cfRule type="containsText" dxfId="32" priority="5" operator="containsText" text="Not assessed"/>
    <x:cfRule type="containsText" dxfId="33" priority="6" operator="containsText" text="Review required"/>
    <x:cfRule type="containsText" dxfId="34" priority="7" operator="containsText" text="Source missing"/>
  </x:conditionalFormatting>
  <x:dataValidations count="1">
    <x:dataValidation type="list" errorStyle="stop" showErrorMessage="1" errorTitle="Choose a listed value" error="Use one of the values in this cell’s list." sqref="E7:E9">
      <x:formula1>"Confirmed,Not confirmed,Not reviewed"</x:formula1>
    </x:dataValidation>
  </x:dataValidations>
  <x:pageMargins left="0.7" right="0.7" top="0.75" bottom="0.75" header="0.3" footer="0.3"/>
  <x:tableParts count="2">
    <x:tablePart xmlns:r="http://schemas.openxmlformats.org/officeDocument/2006/relationships" r:id="R7024a69a8a584111"/>
    <x:tablePart xmlns:r="http://schemas.openxmlformats.org/officeDocument/2006/relationships" r:id="Rbc6326f41cd64d7c"/>
  </x:tableParts>
</x:worksheet>
</file>

<file path=xl/worksheets/sheet5.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0" hidden="0" customWidth="1"/>
    <x:col min="2" max="2" width="36" hidden="0" customWidth="1"/>
    <x:col min="3" max="3" width="31" hidden="0" customWidth="1"/>
    <x:col min="4" max="4" width="13" hidden="0" customWidth="1"/>
    <x:col min="5" max="5" width="27" hidden="0" customWidth="1"/>
    <x:col min="6" max="6" width="13" hidden="0" customWidth="1"/>
    <x:col min="7" max="7" width="10" hidden="0" customWidth="1"/>
    <x:col min="8" max="8" width="41" hidden="0" customWidth="1"/>
    <x:col min="9" max="9" width="16" hidden="0" customWidth="1"/>
    <x:col min="10" max="10" width="16" hidden="0" customWidth="1"/>
    <x:col min="11" max="11" width="12" hidden="0" customWidth="1"/>
    <x:col min="12" max="12" width="17" hidden="0" customWidth="1"/>
    <x:col min="13" max="13" width="23" hidden="0" customWidth="1"/>
    <x:col min="14" max="14" width="26" hidden="0" customWidth="1"/>
    <x:col min="15" max="15" width="20" hidden="0" customWidth="1"/>
  </x:cols>
  <x:sheetData>
    <x:row r="1" ht="25" customHeight="1">
      <x:c r="A1" s="2"/>
      <x:c r="B1" s="2"/>
      <x:c r="C1" s="2"/>
      <x:c r="D1" s="2"/>
      <x:c r="E1" s="2"/>
      <x:c r="F1" s="2"/>
      <x:c r="G1" s="2"/>
      <x:c r="H1" s="2"/>
      <x:c r="I1" s="2"/>
      <x:c r="J1" s="2"/>
      <x:c r="K1" s="2"/>
      <x:c r="L1" s="2"/>
      <x:c r="M1" s="2"/>
      <x:c r="N1" s="2"/>
      <x:c r="O1" s="2"/>
    </x:row>
    <x:row r="2" ht="37" customHeight="1">
      <x:c r="A2" s="4" t="str">
        <x:v>Registered-point requirements</x:v>
      </x:c>
      <x:c r="B2" s="4" t="str">
        <x:v>Registered-point requirements</x:v>
      </x:c>
      <x:c r="C2" s="4" t="str">
        <x:v>Registered-point requirements</x:v>
      </x:c>
      <x:c r="D2" s="4" t="str">
        <x:v>Registered-point requirements</x:v>
      </x:c>
      <x:c r="E2" s="4" t="str">
        <x:v>Registered-point requirements</x:v>
      </x:c>
      <x:c r="F2" s="4" t="str">
        <x:v>Registered-point requirements</x:v>
      </x:c>
      <x:c r="G2" s="4" t="str">
        <x:v>Registered-point requirements</x:v>
      </x:c>
      <x:c r="H2" s="4" t="str">
        <x:v>Registered-point requirements</x:v>
      </x:c>
      <x:c r="I2" s="4" t="str">
        <x:v>Registered-point requirements</x:v>
      </x:c>
      <x:c r="J2" s="4" t="str">
        <x:v>Registered-point requirements</x:v>
      </x:c>
      <x:c r="K2" s="4" t="str">
        <x:v>Registered-point requirements</x:v>
      </x:c>
      <x:c r="L2" s="4" t="str">
        <x:v>Registered-point requirements</x:v>
      </x:c>
      <x:c r="M2" s="4" t="str">
        <x:v>Registered-point requirements</x:v>
      </x:c>
      <x:c r="N2" s="4" t="str">
        <x:v>Registered-point requirements</x:v>
      </x:c>
      <x:c r="O2" s="4" t="str">
        <x:v>Registered-point requirements</x:v>
      </x:c>
    </x:row>
    <x:row r="3" ht="7" customHeight="1">
      <x:c r="A3" s="5"/>
      <x:c r="B3" s="5"/>
      <x:c r="C3" s="5"/>
      <x:c r="D3" s="5"/>
      <x:c r="E3" s="5"/>
      <x:c r="F3" s="5"/>
      <x:c r="G3" s="5"/>
      <x:c r="H3" s="5"/>
      <x:c r="I3" s="5"/>
      <x:c r="J3" s="5"/>
      <x:c r="K3" s="5"/>
      <x:c r="L3" s="5"/>
      <x:c r="M3" s="5"/>
      <x:c r="N3" s="5"/>
      <x:c r="O3" s="5"/>
    </x:row>
    <x:row r="4" ht="34" customHeight="1">
      <x:c r="A4" s="7" t="str">
        <x:v>28 registered points. All require display: 26 on the AHU main graphic and 2 on maintenance detail. P01 is the common AHU command for SF/RF start/stop. Functions and settings are separate.</x:v>
      </x:c>
      <x:c r="B4" s="7" t="str">
        <x:v>28 registered points. All require display: 26 on the AHU main graphic and 2 on maintenance detail. P01 is the common AHU command for SF/RF start/stop. Functions and settings are separate.</x:v>
      </x:c>
      <x:c r="C4" s="7" t="str">
        <x:v>28 registered points. All require display: 26 on the AHU main graphic and 2 on maintenance detail. P01 is the common AHU command for SF/RF start/stop. Functions and settings are separate.</x:v>
      </x:c>
      <x:c r="D4" s="7" t="str">
        <x:v>28 registered points. All require display: 26 on the AHU main graphic and 2 on maintenance detail. P01 is the common AHU command for SF/RF start/stop. Functions and settings are separate.</x:v>
      </x:c>
      <x:c r="E4" s="7" t="str">
        <x:v>28 registered points. All require display: 26 on the AHU main graphic and 2 on maintenance detail. P01 is the common AHU command for SF/RF start/stop. Functions and settings are separate.</x:v>
      </x:c>
      <x:c r="F4" s="7" t="str">
        <x:v>28 registered points. All require display: 26 on the AHU main graphic and 2 on maintenance detail. P01 is the common AHU command for SF/RF start/stop. Functions and settings are separate.</x:v>
      </x:c>
      <x:c r="G4" s="7" t="str">
        <x:v>28 registered points. All require display: 26 on the AHU main graphic and 2 on maintenance detail. P01 is the common AHU command for SF/RF start/stop. Functions and settings are separate.</x:v>
      </x:c>
      <x:c r="H4" s="7" t="str">
        <x:v>28 registered points. All require display: 26 on the AHU main graphic and 2 on maintenance detail. P01 is the common AHU command for SF/RF start/stop. Functions and settings are separate.</x:v>
      </x:c>
      <x:c r="I4" s="7" t="str">
        <x:v>28 registered points. All require display: 26 on the AHU main graphic and 2 on maintenance detail. P01 is the common AHU command for SF/RF start/stop. Functions and settings are separate.</x:v>
      </x:c>
      <x:c r="J4" s="7" t="str">
        <x:v>28 registered points. All require display: 26 on the AHU main graphic and 2 on maintenance detail. P01 is the common AHU command for SF/RF start/stop. Functions and settings are separate.</x:v>
      </x:c>
      <x:c r="K4" s="7" t="str">
        <x:v>28 registered points. All require display: 26 on the AHU main graphic and 2 on maintenance detail. P01 is the common AHU command for SF/RF start/stop. Functions and settings are separate.</x:v>
      </x:c>
      <x:c r="L4" s="7" t="str">
        <x:v>28 registered points. All require display: 26 on the AHU main graphic and 2 on maintenance detail. P01 is the common AHU command for SF/RF start/stop. Functions and settings are separate.</x:v>
      </x:c>
      <x:c r="M4" s="7" t="str">
        <x:v>28 registered points. All require display: 26 on the AHU main graphic and 2 on maintenance detail. P01 is the common AHU command for SF/RF start/stop. Functions and settings are separate.</x:v>
      </x:c>
      <x:c r="N4" s="7" t="str">
        <x:v>28 registered points. All require display: 26 on the AHU main graphic and 2 on maintenance detail. P01 is the common AHU command for SF/RF start/stop. Functions and settings are separate.</x:v>
      </x:c>
      <x:c r="O4" s="7" t="str">
        <x:v>28 registered points. All require display: 26 on the AHU main graphic and 2 on maintenance detail. P01 is the common AHU command for SF/RF start/stop. Functions and settings are separate.</x:v>
      </x:c>
    </x:row>
    <x:row r="5" ht="25" customHeight="1">
      <x:c r="A5" s="2"/>
      <x:c r="B5" s="2"/>
      <x:c r="C5" s="2"/>
      <x:c r="D5" s="2"/>
      <x:c r="E5" s="2"/>
      <x:c r="F5" s="2"/>
      <x:c r="G5" s="2"/>
      <x:c r="H5" s="2"/>
      <x:c r="I5" s="2"/>
      <x:c r="J5" s="2"/>
      <x:c r="K5" s="2"/>
      <x:c r="L5" s="2"/>
      <x:c r="M5" s="2"/>
      <x:c r="N5" s="2"/>
      <x:c r="O5" s="2"/>
    </x:row>
    <x:row r="6" ht="44" customHeight="1">
      <x:c r="A6" s="16" t="str">
        <x:v>Point ID</x:v>
      </x:c>
      <x:c r="B6" s="17" t="str">
        <x:v>Point name</x:v>
      </x:c>
      <x:c r="C6" s="17" t="str">
        <x:v>Required source</x:v>
      </x:c>
      <x:c r="D6" s="17" t="str">
        <x:v>Display required</x:v>
      </x:c>
      <x:c r="E6" s="17" t="str">
        <x:v>Required location</x:v>
      </x:c>
      <x:c r="F6" s="17" t="str">
        <x:v>Access</x:v>
      </x:c>
      <x:c r="G6" s="17" t="str">
        <x:v>Unit</x:v>
      </x:c>
      <x:c r="H6" s="17" t="str">
        <x:v>State labels</x:v>
      </x:c>
      <x:c r="I6" s="17" t="str">
        <x:v>Initial target</x:v>
      </x:c>
      <x:c r="J6" s="17" t="str">
        <x:v>Current target</x:v>
      </x:c>
      <x:c r="K6" s="17" t="str">
        <x:v>Finding</x:v>
      </x:c>
      <x:c r="L6" s="17" t="str">
        <x:v>Human decision</x:v>
      </x:c>
      <x:c r="M6" s="17" t="str">
        <x:v>Source reference</x:v>
      </x:c>
      <x:c r="N6" s="17" t="str">
        <x:v>Required trend source</x:v>
      </x:c>
      <x:c r="O6" s="18" t="str">
        <x:v>Point type</x:v>
      </x:c>
    </x:row>
    <x:row r="7" ht="48" customHeight="1">
      <x:c r="A7" s="27" t="str">
        <x:v>P01</x:v>
      </x:c>
      <x:c r="B7" s="21" t="str">
        <x:v>AHU start/stop command</x:v>
      </x:c>
      <x:c r="C7" s="27" t="str">
        <x:v>AHU02.AHU_CMD</x:v>
      </x:c>
      <x:c r="D7" s="21" t="str">
        <x:v>Yes</x:v>
      </x:c>
      <x:c r="E7" s="21" t="str">
        <x:v>AHU main graphic</x:v>
      </x:c>
      <x:c r="F7" s="21" t="str">
        <x:v>RW</x:v>
      </x:c>
      <x:c r="G7" s="21" t="str">
        <x:v>enum</x:v>
      </x:c>
      <x:c r="H7" s="21" t="str">
        <x:v>0=Stop; 1=Start</x:v>
      </x:c>
      <x:c r="I7" s="21" t="str">
        <x:v>Not specified</x:v>
      </x:c>
      <x:c r="J7" s="21" t="str">
        <x:v>Not specified</x:v>
      </x:c>
      <x:c r="K7" s="27" t="str">
        <x:v>None</x:v>
      </x:c>
      <x:c r="L7" s="35" t="str">
        <x:v>Confirmed</x:v>
      </x:c>
      <x:c r="M7" s="27" t="str">
        <x:v>PL-C P01</x:v>
      </x:c>
      <x:c r="N7" s="27" t="str">
        <x:v>Not required</x:v>
      </x:c>
      <x:c r="O7" s="21" t="str">
        <x:v>DO</x:v>
      </x:c>
    </x:row>
    <x:row r="8" ht="48" customHeight="1">
      <x:c r="A8" s="28" t="str">
        <x:v>P02</x:v>
      </x:c>
      <x:c r="B8" s="24" t="str">
        <x:v>Supply-fan run status</x:v>
      </x:c>
      <x:c r="C8" s="28" t="str">
        <x:v>AHU02.RUN</x:v>
      </x:c>
      <x:c r="D8" s="24" t="str">
        <x:v>Yes</x:v>
      </x:c>
      <x:c r="E8" s="24" t="str">
        <x:v>AHU main graphic</x:v>
      </x:c>
      <x:c r="F8" s="24" t="str">
        <x:v>RO</x:v>
      </x:c>
      <x:c r="G8" s="24" t="str">
        <x:v>enum</x:v>
      </x:c>
      <x:c r="H8" s="24" t="str">
        <x:v>0=Stopped; 1=Running</x:v>
      </x:c>
      <x:c r="I8" s="24" t="str">
        <x:v>Not specified</x:v>
      </x:c>
      <x:c r="J8" s="24" t="str">
        <x:v>Not specified</x:v>
      </x:c>
      <x:c r="K8" s="28" t="str">
        <x:v>None</x:v>
      </x:c>
      <x:c r="L8" s="35" t="str">
        <x:v>Confirmed</x:v>
      </x:c>
      <x:c r="M8" s="28" t="str">
        <x:v>PL-C P02</x:v>
      </x:c>
      <x:c r="N8" s="28" t="str">
        <x:v>Not required</x:v>
      </x:c>
      <x:c r="O8" s="24" t="str">
        <x:v>DI</x:v>
      </x:c>
    </x:row>
    <x:row r="9" ht="48" customHeight="1">
      <x:c r="A9" s="27" t="str">
        <x:v>P03</x:v>
      </x:c>
      <x:c r="B9" s="21" t="str">
        <x:v>Supply-fan fault alarm</x:v>
      </x:c>
      <x:c r="C9" s="27" t="str">
        <x:v>AHU02.FAN_FAULT</x:v>
      </x:c>
      <x:c r="D9" s="21" t="str">
        <x:v>Yes</x:v>
      </x:c>
      <x:c r="E9" s="21" t="str">
        <x:v>AHU main graphic</x:v>
      </x:c>
      <x:c r="F9" s="21" t="str">
        <x:v>RO</x:v>
      </x:c>
      <x:c r="G9" s="21" t="str">
        <x:v>enum</x:v>
      </x:c>
      <x:c r="H9" s="21" t="str">
        <x:v>0=Normal; 1=Alarm</x:v>
      </x:c>
      <x:c r="I9" s="21" t="str">
        <x:v>Not specified</x:v>
      </x:c>
      <x:c r="J9" s="21" t="str">
        <x:v>Not specified</x:v>
      </x:c>
      <x:c r="K9" s="27" t="str">
        <x:v>None</x:v>
      </x:c>
      <x:c r="L9" s="35" t="str">
        <x:v>Confirmed</x:v>
      </x:c>
      <x:c r="M9" s="27" t="str">
        <x:v>PL-C P03</x:v>
      </x:c>
      <x:c r="N9" s="27" t="str">
        <x:v>Not required</x:v>
      </x:c>
      <x:c r="O9" s="21" t="str">
        <x:v>DI</x:v>
      </x:c>
    </x:row>
    <x:row r="10" ht="48" customHeight="1">
      <x:c r="A10" s="28" t="str">
        <x:v>P04</x:v>
      </x:c>
      <x:c r="B10" s="24" t="str">
        <x:v>Return-fan run status</x:v>
      </x:c>
      <x:c r="C10" s="28" t="str">
        <x:v>AHU02.RF_RUN</x:v>
      </x:c>
      <x:c r="D10" s="24" t="str">
        <x:v>Yes</x:v>
      </x:c>
      <x:c r="E10" s="24" t="str">
        <x:v>AHU main graphic</x:v>
      </x:c>
      <x:c r="F10" s="24" t="str">
        <x:v>RO</x:v>
      </x:c>
      <x:c r="G10" s="24" t="str">
        <x:v>enum</x:v>
      </x:c>
      <x:c r="H10" s="24" t="str">
        <x:v>0=Stopped; 1=Running</x:v>
      </x:c>
      <x:c r="I10" s="24" t="str">
        <x:v>Not specified</x:v>
      </x:c>
      <x:c r="J10" s="24" t="str">
        <x:v>Not specified</x:v>
      </x:c>
      <x:c r="K10" s="28" t="str">
        <x:v>None</x:v>
      </x:c>
      <x:c r="L10" s="35" t="str">
        <x:v>Confirmed</x:v>
      </x:c>
      <x:c r="M10" s="28" t="str">
        <x:v>PL-C P04</x:v>
      </x:c>
      <x:c r="N10" s="28" t="str">
        <x:v>Not required</x:v>
      </x:c>
      <x:c r="O10" s="24" t="str">
        <x:v>DI</x:v>
      </x:c>
    </x:row>
    <x:row r="11" ht="48" customHeight="1">
      <x:c r="A11" s="27" t="str">
        <x:v>P05</x:v>
      </x:c>
      <x:c r="B11" s="21" t="str">
        <x:v>Return-fan fault alarm</x:v>
      </x:c>
      <x:c r="C11" s="27" t="str">
        <x:v>AHU02.RF_FAULT</x:v>
      </x:c>
      <x:c r="D11" s="21" t="str">
        <x:v>Yes</x:v>
      </x:c>
      <x:c r="E11" s="21" t="str">
        <x:v>AHU main graphic</x:v>
      </x:c>
      <x:c r="F11" s="21" t="str">
        <x:v>RO</x:v>
      </x:c>
      <x:c r="G11" s="21" t="str">
        <x:v>enum</x:v>
      </x:c>
      <x:c r="H11" s="21" t="str">
        <x:v>0=Normal; 1=Alarm</x:v>
      </x:c>
      <x:c r="I11" s="21" t="str">
        <x:v>Not specified</x:v>
      </x:c>
      <x:c r="J11" s="21" t="str">
        <x:v>Not specified</x:v>
      </x:c>
      <x:c r="K11" s="27" t="str">
        <x:v>None</x:v>
      </x:c>
      <x:c r="L11" s="35" t="str">
        <x:v>Confirmed</x:v>
      </x:c>
      <x:c r="M11" s="27" t="str">
        <x:v>PL-C P05</x:v>
      </x:c>
      <x:c r="N11" s="27" t="str">
        <x:v>Not required</x:v>
      </x:c>
      <x:c r="O11" s="21" t="str">
        <x:v>DI</x:v>
      </x:c>
    </x:row>
    <x:row r="12" ht="48" customHeight="1">
      <x:c r="A12" s="28" t="str">
        <x:v>P06</x:v>
      </x:c>
      <x:c r="B12" s="24" t="str">
        <x:v>Supply-air temperature</x:v>
      </x:c>
      <x:c r="C12" s="28" t="str">
        <x:v>AHU02.SAT</x:v>
      </x:c>
      <x:c r="D12" s="24" t="str">
        <x:v>Yes</x:v>
      </x:c>
      <x:c r="E12" s="24" t="str">
        <x:v>AHU main graphic</x:v>
      </x:c>
      <x:c r="F12" s="24" t="str">
        <x:v>RO</x:v>
      </x:c>
      <x:c r="G12" s="24" t="str">
        <x:v>°C</x:v>
      </x:c>
      <x:c r="H12" s="24" t="str">
        <x:v>n/a</x:v>
      </x:c>
      <x:c r="I12" s="24" t="str">
        <x:v>Not specified</x:v>
      </x:c>
      <x:c r="J12" s="24" t="str">
        <x:v>Not specified</x:v>
      </x:c>
      <x:c r="K12" s="28" t="str">
        <x:v>F01</x:v>
      </x:c>
      <x:c r="L12" s="35" t="str">
        <x:v>Confirmed</x:v>
      </x:c>
      <x:c r="M12" s="28" t="str">
        <x:v>PL-C P06</x:v>
      </x:c>
      <x:c r="N12" s="28" t="str">
        <x:v>AHU02.SAT</x:v>
      </x:c>
      <x:c r="O12" s="24" t="str">
        <x:v>AI</x:v>
      </x:c>
    </x:row>
    <x:row r="13" ht="48" customHeight="1">
      <x:c r="A13" s="27" t="str">
        <x:v>P07</x:v>
      </x:c>
      <x:c r="B13" s="21" t="str">
        <x:v>Supply-air temperature setpoint</x:v>
      </x:c>
      <x:c r="C13" s="27" t="str">
        <x:v>AHU02.SAT_SP</x:v>
      </x:c>
      <x:c r="D13" s="21" t="str">
        <x:v>Yes</x:v>
      </x:c>
      <x:c r="E13" s="21" t="str">
        <x:v>AHU main graphic</x:v>
      </x:c>
      <x:c r="F13" s="21" t="str">
        <x:v>RW</x:v>
      </x:c>
      <x:c r="G13" s="21" t="str">
        <x:v>°C</x:v>
      </x:c>
      <x:c r="H13" s="21" t="str">
        <x:v>n/a</x:v>
      </x:c>
      <x:c r="I13" s="36" t="n">
        <x:v>24</x:v>
      </x:c>
      <x:c r="J13" s="36" t="n">
        <x:v>22</x:v>
      </x:c>
      <x:c r="K13" s="27" t="str">
        <x:v>F03</x:v>
      </x:c>
      <x:c r="L13" s="35" t="str">
        <x:v>Confirmed</x:v>
      </x:c>
      <x:c r="M13" s="27" t="str">
        <x:v>PL-C P07</x:v>
      </x:c>
      <x:c r="N13" s="27" t="str">
        <x:v>Not required</x:v>
      </x:c>
      <x:c r="O13" s="21" t="str">
        <x:v>Software point</x:v>
      </x:c>
    </x:row>
    <x:row r="14" ht="48" customHeight="1">
      <x:c r="A14" s="28" t="str">
        <x:v>P08</x:v>
      </x:c>
      <x:c r="B14" s="24" t="str">
        <x:v>Chilled/hot-water valve command</x:v>
      </x:c>
      <x:c r="C14" s="28" t="str">
        <x:v>AHU02.CHW_HW_VLV_CMD</x:v>
      </x:c>
      <x:c r="D14" s="24" t="str">
        <x:v>Yes</x:v>
      </x:c>
      <x:c r="E14" s="24" t="str">
        <x:v>AHU main graphic</x:v>
      </x:c>
      <x:c r="F14" s="24" t="str">
        <x:v>RO</x:v>
      </x:c>
      <x:c r="G14" s="24" t="str">
        <x:v>%</x:v>
      </x:c>
      <x:c r="H14" s="24" t="str">
        <x:v>n/a</x:v>
      </x:c>
      <x:c r="I14" s="24" t="str">
        <x:v>Not specified</x:v>
      </x:c>
      <x:c r="J14" s="24" t="str">
        <x:v>Not specified</x:v>
      </x:c>
      <x:c r="K14" s="28" t="str">
        <x:v>None</x:v>
      </x:c>
      <x:c r="L14" s="35" t="str">
        <x:v>Confirmed</x:v>
      </x:c>
      <x:c r="M14" s="28" t="str">
        <x:v>PL-C P08</x:v>
      </x:c>
      <x:c r="N14" s="28" t="str">
        <x:v>Not required</x:v>
      </x:c>
      <x:c r="O14" s="24" t="str">
        <x:v>AO</x:v>
      </x:c>
    </x:row>
    <x:row r="15" ht="48" customHeight="1">
      <x:c r="A15" s="27" t="str">
        <x:v>P09</x:v>
      </x:c>
      <x:c r="B15" s="21" t="str">
        <x:v>Filter differential-pressure alarm</x:v>
      </x:c>
      <x:c r="C15" s="27" t="str">
        <x:v>AHU02.FILTER_DP_ALM</x:v>
      </x:c>
      <x:c r="D15" s="21" t="str">
        <x:v>Yes</x:v>
      </x:c>
      <x:c r="E15" s="21" t="str">
        <x:v>AHU main graphic</x:v>
      </x:c>
      <x:c r="F15" s="21" t="str">
        <x:v>RO</x:v>
      </x:c>
      <x:c r="G15" s="21" t="str">
        <x:v>enum</x:v>
      </x:c>
      <x:c r="H15" s="21" t="str">
        <x:v>0=Normal; 1=Alarm</x:v>
      </x:c>
      <x:c r="I15" s="21" t="str">
        <x:v>Not specified</x:v>
      </x:c>
      <x:c r="J15" s="21" t="str">
        <x:v>Not specified</x:v>
      </x:c>
      <x:c r="K15" s="27" t="str">
        <x:v>None</x:v>
      </x:c>
      <x:c r="L15" s="35" t="str">
        <x:v>Confirmed</x:v>
      </x:c>
      <x:c r="M15" s="27" t="str">
        <x:v>PL-C P09</x:v>
      </x:c>
      <x:c r="N15" s="27" t="str">
        <x:v>Not required</x:v>
      </x:c>
      <x:c r="O15" s="21" t="str">
        <x:v>DI</x:v>
      </x:c>
    </x:row>
    <x:row r="16" ht="48" customHeight="1">
      <x:c r="A16" s="28" t="str">
        <x:v>P10</x:v>
      </x:c>
      <x:c r="B16" s="24" t="str">
        <x:v>Shared outdoor-air temperature</x:v>
      </x:c>
      <x:c r="C16" s="28" t="str">
        <x:v>SITE.OAT</x:v>
      </x:c>
      <x:c r="D16" s="24" t="str">
        <x:v>Yes</x:v>
      </x:c>
      <x:c r="E16" s="24" t="str">
        <x:v>AHU main graphic</x:v>
      </x:c>
      <x:c r="F16" s="24" t="str">
        <x:v>RO</x:v>
      </x:c>
      <x:c r="G16" s="24" t="str">
        <x:v>°C</x:v>
      </x:c>
      <x:c r="H16" s="24" t="str">
        <x:v>n/a</x:v>
      </x:c>
      <x:c r="I16" s="24" t="str">
        <x:v>Not specified</x:v>
      </x:c>
      <x:c r="J16" s="24" t="str">
        <x:v>Not specified</x:v>
      </x:c>
      <x:c r="K16" s="28" t="str">
        <x:v>None</x:v>
      </x:c>
      <x:c r="L16" s="35" t="str">
        <x:v>Confirmed</x:v>
      </x:c>
      <x:c r="M16" s="28" t="str">
        <x:v>PL-C P10</x:v>
      </x:c>
      <x:c r="N16" s="28" t="str">
        <x:v>Not required</x:v>
      </x:c>
      <x:c r="O16" s="24" t="str">
        <x:v>AI / shared</x:v>
      </x:c>
    </x:row>
    <x:row r="17" ht="48" customHeight="1">
      <x:c r="A17" s="27" t="str">
        <x:v>P11</x:v>
      </x:c>
      <x:c r="B17" s="21" t="str">
        <x:v>Shared outdoor-air humidity</x:v>
      </x:c>
      <x:c r="C17" s="27" t="str">
        <x:v>SITE.OAH</x:v>
      </x:c>
      <x:c r="D17" s="21" t="str">
        <x:v>Yes</x:v>
      </x:c>
      <x:c r="E17" s="21" t="str">
        <x:v>AHU main graphic</x:v>
      </x:c>
      <x:c r="F17" s="21" t="str">
        <x:v>RO</x:v>
      </x:c>
      <x:c r="G17" s="21" t="str">
        <x:v>%RH</x:v>
      </x:c>
      <x:c r="H17" s="21" t="str">
        <x:v>n/a</x:v>
      </x:c>
      <x:c r="I17" s="21" t="str">
        <x:v>Not specified</x:v>
      </x:c>
      <x:c r="J17" s="21" t="str">
        <x:v>Not specified</x:v>
      </x:c>
      <x:c r="K17" s="27" t="str">
        <x:v>None</x:v>
      </x:c>
      <x:c r="L17" s="35" t="str">
        <x:v>Confirmed</x:v>
      </x:c>
      <x:c r="M17" s="27" t="str">
        <x:v>PL-C P11</x:v>
      </x:c>
      <x:c r="N17" s="27" t="str">
        <x:v>Not required</x:v>
      </x:c>
      <x:c r="O17" s="21" t="str">
        <x:v>AI / shared</x:v>
      </x:c>
    </x:row>
    <x:row r="18" ht="48" customHeight="1">
      <x:c r="A18" s="28" t="str">
        <x:v>P12</x:v>
      </x:c>
      <x:c r="B18" s="24" t="str">
        <x:v>Economizer enabled status</x:v>
      </x:c>
      <x:c r="C18" s="28" t="str">
        <x:v>AHU02.ECON_ENABLE_STS</x:v>
      </x:c>
      <x:c r="D18" s="24" t="str">
        <x:v>Yes</x:v>
      </x:c>
      <x:c r="E18" s="24" t="str">
        <x:v>AHU main graphic</x:v>
      </x:c>
      <x:c r="F18" s="24" t="str">
        <x:v>RO</x:v>
      </x:c>
      <x:c r="G18" s="24" t="str">
        <x:v>enum</x:v>
      </x:c>
      <x:c r="H18" s="24" t="str">
        <x:v>0=Disabled; 1=Enabled</x:v>
      </x:c>
      <x:c r="I18" s="24" t="str">
        <x:v>Not specified</x:v>
      </x:c>
      <x:c r="J18" s="24" t="str">
        <x:v>Not specified</x:v>
      </x:c>
      <x:c r="K18" s="28" t="str">
        <x:v>None</x:v>
      </x:c>
      <x:c r="L18" s="35" t="str">
        <x:v>Confirmed</x:v>
      </x:c>
      <x:c r="M18" s="28" t="str">
        <x:v>PL-C P12</x:v>
      </x:c>
      <x:c r="N18" s="28" t="str">
        <x:v>Not required</x:v>
      </x:c>
      <x:c r="O18" s="24" t="str">
        <x:v>Software point</x:v>
      </x:c>
    </x:row>
    <x:row r="19" ht="48" customHeight="1">
      <x:c r="A19" s="27" t="str">
        <x:v>P13</x:v>
      </x:c>
      <x:c r="B19" s="21" t="str">
        <x:v>Economizer active status</x:v>
      </x:c>
      <x:c r="C19" s="27" t="str">
        <x:v>AHU02.ECON_ACTIVE</x:v>
      </x:c>
      <x:c r="D19" s="21" t="str">
        <x:v>Yes</x:v>
      </x:c>
      <x:c r="E19" s="21" t="str">
        <x:v>AHU main graphic</x:v>
      </x:c>
      <x:c r="F19" s="21" t="str">
        <x:v>RO</x:v>
      </x:c>
      <x:c r="G19" s="21" t="str">
        <x:v>enum</x:v>
      </x:c>
      <x:c r="H19" s="21" t="str">
        <x:v>0=Standby; 1=Active</x:v>
      </x:c>
      <x:c r="I19" s="21" t="str">
        <x:v>Not specified</x:v>
      </x:c>
      <x:c r="J19" s="21" t="str">
        <x:v>Not specified</x:v>
      </x:c>
      <x:c r="K19" s="27" t="str">
        <x:v>None</x:v>
      </x:c>
      <x:c r="L19" s="35" t="str">
        <x:v>Confirmed</x:v>
      </x:c>
      <x:c r="M19" s="27" t="str">
        <x:v>PL-C P13</x:v>
      </x:c>
      <x:c r="N19" s="27" t="str">
        <x:v>Not required</x:v>
      </x:c>
      <x:c r="O19" s="21" t="str">
        <x:v>Software point</x:v>
      </x:c>
    </x:row>
    <x:row r="20" ht="48" customHeight="1">
      <x:c r="A20" s="28" t="str">
        <x:v>P14</x:v>
      </x:c>
      <x:c r="B20" s="24" t="str">
        <x:v>Freeze-protection enabled status</x:v>
      </x:c>
      <x:c r="C20" s="28" t="str">
        <x:v>AHU02.FREEZE_ENABLE_STS</x:v>
      </x:c>
      <x:c r="D20" s="24" t="str">
        <x:v>Yes</x:v>
      </x:c>
      <x:c r="E20" s="24" t="str">
        <x:v>AHU main graphic</x:v>
      </x:c>
      <x:c r="F20" s="24" t="str">
        <x:v>RO</x:v>
      </x:c>
      <x:c r="G20" s="24" t="str">
        <x:v>enum</x:v>
      </x:c>
      <x:c r="H20" s="24" t="str">
        <x:v>0=Disabled; 1=Enabled</x:v>
      </x:c>
      <x:c r="I20" s="24" t="str">
        <x:v>Not specified</x:v>
      </x:c>
      <x:c r="J20" s="24" t="str">
        <x:v>Not specified</x:v>
      </x:c>
      <x:c r="K20" s="28" t="str">
        <x:v>F02</x:v>
      </x:c>
      <x:c r="L20" s="35" t="str">
        <x:v>Confirmed</x:v>
      </x:c>
      <x:c r="M20" s="28" t="str">
        <x:v>PL-C P14</x:v>
      </x:c>
      <x:c r="N20" s="28" t="str">
        <x:v>Not required</x:v>
      </x:c>
      <x:c r="O20" s="24" t="str">
        <x:v>Software point</x:v>
      </x:c>
    </x:row>
    <x:row r="21" ht="48" customHeight="1">
      <x:c r="A21" s="27" t="str">
        <x:v>P15</x:v>
      </x:c>
      <x:c r="B21" s="21" t="str">
        <x:v>Freeze-protection active status</x:v>
      </x:c>
      <x:c r="C21" s="27" t="str">
        <x:v>AHU02.FREEZE_ACTIVE</x:v>
      </x:c>
      <x:c r="D21" s="21" t="str">
        <x:v>Yes</x:v>
      </x:c>
      <x:c r="E21" s="21" t="str">
        <x:v>AHU main graphic</x:v>
      </x:c>
      <x:c r="F21" s="21" t="str">
        <x:v>RO</x:v>
      </x:c>
      <x:c r="G21" s="21" t="str">
        <x:v>enum</x:v>
      </x:c>
      <x:c r="H21" s="21" t="str">
        <x:v>0=Standby; 1=Active</x:v>
      </x:c>
      <x:c r="I21" s="21" t="str">
        <x:v>Not specified</x:v>
      </x:c>
      <x:c r="J21" s="21" t="str">
        <x:v>Not specified</x:v>
      </x:c>
      <x:c r="K21" s="27" t="str">
        <x:v>None</x:v>
      </x:c>
      <x:c r="L21" s="35" t="str">
        <x:v>Confirmed</x:v>
      </x:c>
      <x:c r="M21" s="27" t="str">
        <x:v>PL-C P15</x:v>
      </x:c>
      <x:c r="N21" s="27" t="str">
        <x:v>Not required</x:v>
      </x:c>
      <x:c r="O21" s="21" t="str">
        <x:v>Software point</x:v>
      </x:c>
    </x:row>
    <x:row r="22" ht="48" customHeight="1">
      <x:c r="A22" s="28" t="str">
        <x:v>P16</x:v>
      </x:c>
      <x:c r="B22" s="24" t="str">
        <x:v>Heating/cooling state</x:v>
      </x:c>
      <x:c r="C22" s="28" t="str">
        <x:v>AHU02.HC_MODE</x:v>
      </x:c>
      <x:c r="D22" s="24" t="str">
        <x:v>Yes</x:v>
      </x:c>
      <x:c r="E22" s="24" t="str">
        <x:v>AHU main graphic</x:v>
      </x:c>
      <x:c r="F22" s="24" t="str">
        <x:v>RO</x:v>
      </x:c>
      <x:c r="G22" s="24" t="str">
        <x:v>enum</x:v>
      </x:c>
      <x:c r="H22" s="24" t="str">
        <x:v>0=Neutral; 1=Cooling; 2=Heating</x:v>
      </x:c>
      <x:c r="I22" s="24" t="str">
        <x:v>Not specified</x:v>
      </x:c>
      <x:c r="J22" s="24" t="str">
        <x:v>Not specified</x:v>
      </x:c>
      <x:c r="K22" s="28" t="str">
        <x:v>None</x:v>
      </x:c>
      <x:c r="L22" s="35" t="str">
        <x:v>Confirmed</x:v>
      </x:c>
      <x:c r="M22" s="28" t="str">
        <x:v>PL-C P16</x:v>
      </x:c>
      <x:c r="N22" s="28" t="str">
        <x:v>Not required</x:v>
      </x:c>
      <x:c r="O22" s="24" t="str">
        <x:v>Software point</x:v>
      </x:c>
    </x:row>
    <x:row r="23" ht="48" customHeight="1">
      <x:c r="A23" s="27" t="str">
        <x:v>P17</x:v>
      </x:c>
      <x:c r="B23" s="21" t="str">
        <x:v>Return-air temperature</x:v>
      </x:c>
      <x:c r="C23" s="27" t="str">
        <x:v>AHU02.RAT</x:v>
      </x:c>
      <x:c r="D23" s="21" t="str">
        <x:v>Yes</x:v>
      </x:c>
      <x:c r="E23" s="21" t="str">
        <x:v>AHU main graphic</x:v>
      </x:c>
      <x:c r="F23" s="21" t="str">
        <x:v>RO</x:v>
      </x:c>
      <x:c r="G23" s="21" t="str">
        <x:v>°C</x:v>
      </x:c>
      <x:c r="H23" s="21" t="str">
        <x:v>n/a</x:v>
      </x:c>
      <x:c r="I23" s="21" t="str">
        <x:v>Not specified</x:v>
      </x:c>
      <x:c r="J23" s="21" t="str">
        <x:v>Not specified</x:v>
      </x:c>
      <x:c r="K23" s="27" t="str">
        <x:v>None</x:v>
      </x:c>
      <x:c r="L23" s="35" t="str">
        <x:v>Confirmed</x:v>
      </x:c>
      <x:c r="M23" s="27" t="str">
        <x:v>PL-C P17</x:v>
      </x:c>
      <x:c r="N23" s="27" t="str">
        <x:v>Not required</x:v>
      </x:c>
      <x:c r="O23" s="21" t="str">
        <x:v>AI</x:v>
      </x:c>
    </x:row>
    <x:row r="24" ht="48" customHeight="1">
      <x:c r="A24" s="28" t="str">
        <x:v>P18</x:v>
      </x:c>
      <x:c r="B24" s="24" t="str">
        <x:v>Outdoor-air damper command</x:v>
      </x:c>
      <x:c r="C24" s="28" t="str">
        <x:v>AHU02.OA_DMP_CMD</x:v>
      </x:c>
      <x:c r="D24" s="24" t="str">
        <x:v>Yes</x:v>
      </x:c>
      <x:c r="E24" s="24" t="str">
        <x:v>AHU main graphic</x:v>
      </x:c>
      <x:c r="F24" s="24" t="str">
        <x:v>RO</x:v>
      </x:c>
      <x:c r="G24" s="24" t="str">
        <x:v>%</x:v>
      </x:c>
      <x:c r="H24" s="24" t="str">
        <x:v>n/a</x:v>
      </x:c>
      <x:c r="I24" s="24" t="str">
        <x:v>Not specified</x:v>
      </x:c>
      <x:c r="J24" s="24" t="str">
        <x:v>Not specified</x:v>
      </x:c>
      <x:c r="K24" s="28" t="str">
        <x:v>None</x:v>
      </x:c>
      <x:c r="L24" s="35" t="str">
        <x:v>Confirmed</x:v>
      </x:c>
      <x:c r="M24" s="28" t="str">
        <x:v>PL-C P18</x:v>
      </x:c>
      <x:c r="N24" s="28" t="str">
        <x:v>Not required</x:v>
      </x:c>
      <x:c r="O24" s="24" t="str">
        <x:v>AO</x:v>
      </x:c>
    </x:row>
    <x:row r="25" ht="48" customHeight="1">
      <x:c r="A25" s="27" t="str">
        <x:v>P19</x:v>
      </x:c>
      <x:c r="B25" s="21" t="str">
        <x:v>Exhaust-air damper command</x:v>
      </x:c>
      <x:c r="C25" s="27" t="str">
        <x:v>AHU02.EA_DMP_CMD</x:v>
      </x:c>
      <x:c r="D25" s="21" t="str">
        <x:v>Yes</x:v>
      </x:c>
      <x:c r="E25" s="21" t="str">
        <x:v>AHU main graphic</x:v>
      </x:c>
      <x:c r="F25" s="21" t="str">
        <x:v>RO</x:v>
      </x:c>
      <x:c r="G25" s="21" t="str">
        <x:v>%</x:v>
      </x:c>
      <x:c r="H25" s="21" t="str">
        <x:v>n/a</x:v>
      </x:c>
      <x:c r="I25" s="21" t="str">
        <x:v>Not specified</x:v>
      </x:c>
      <x:c r="J25" s="21" t="str">
        <x:v>Not specified</x:v>
      </x:c>
      <x:c r="K25" s="27" t="str">
        <x:v>None</x:v>
      </x:c>
      <x:c r="L25" s="35" t="str">
        <x:v>Confirmed</x:v>
      </x:c>
      <x:c r="M25" s="27" t="str">
        <x:v>PL-C P19</x:v>
      </x:c>
      <x:c r="N25" s="27" t="str">
        <x:v>Not required</x:v>
      </x:c>
      <x:c r="O25" s="21" t="str">
        <x:v>AO</x:v>
      </x:c>
    </x:row>
    <x:row r="26" ht="48" customHeight="1">
      <x:c r="A26" s="28" t="str">
        <x:v>P20</x:v>
      </x:c>
      <x:c r="B26" s="24" t="str">
        <x:v>Return-air damper command</x:v>
      </x:c>
      <x:c r="C26" s="28" t="str">
        <x:v>AHU02.RA_DMP_CMD</x:v>
      </x:c>
      <x:c r="D26" s="24" t="str">
        <x:v>Yes</x:v>
      </x:c>
      <x:c r="E26" s="24" t="str">
        <x:v>AHU main graphic</x:v>
      </x:c>
      <x:c r="F26" s="24" t="str">
        <x:v>RO</x:v>
      </x:c>
      <x:c r="G26" s="24" t="str">
        <x:v>%</x:v>
      </x:c>
      <x:c r="H26" s="24" t="str">
        <x:v>n/a</x:v>
      </x:c>
      <x:c r="I26" s="24" t="str">
        <x:v>Not specified</x:v>
      </x:c>
      <x:c r="J26" s="24" t="str">
        <x:v>Not specified</x:v>
      </x:c>
      <x:c r="K26" s="28" t="str">
        <x:v>None</x:v>
      </x:c>
      <x:c r="L26" s="35" t="str">
        <x:v>Confirmed</x:v>
      </x:c>
      <x:c r="M26" s="28" t="str">
        <x:v>PL-C P20</x:v>
      </x:c>
      <x:c r="N26" s="28" t="str">
        <x:v>Not required</x:v>
      </x:c>
      <x:c r="O26" s="24" t="str">
        <x:v>AO</x:v>
      </x:c>
    </x:row>
    <x:row r="27" ht="48" customHeight="1">
      <x:c r="A27" s="27" t="str">
        <x:v>P21</x:v>
      </x:c>
      <x:c r="B27" s="21" t="str">
        <x:v>Operating mode (Off / Auto / Manual)</x:v>
      </x:c>
      <x:c r="C27" s="27" t="str">
        <x:v>AHU02.MODE</x:v>
      </x:c>
      <x:c r="D27" s="21" t="str">
        <x:v>Yes</x:v>
      </x:c>
      <x:c r="E27" s="21" t="str">
        <x:v>AHU main graphic</x:v>
      </x:c>
      <x:c r="F27" s="21" t="str">
        <x:v>RW</x:v>
      </x:c>
      <x:c r="G27" s="21" t="str">
        <x:v>enum</x:v>
      </x:c>
      <x:c r="H27" s="21" t="str">
        <x:v>0=Off; 1=Auto; 2=Manual</x:v>
      </x:c>
      <x:c r="I27" s="21" t="str">
        <x:v>Not specified</x:v>
      </x:c>
      <x:c r="J27" s="21" t="str">
        <x:v>Not specified</x:v>
      </x:c>
      <x:c r="K27" s="27" t="str">
        <x:v>None</x:v>
      </x:c>
      <x:c r="L27" s="35" t="str">
        <x:v>Confirmed</x:v>
      </x:c>
      <x:c r="M27" s="27" t="str">
        <x:v>PL-C P21</x:v>
      </x:c>
      <x:c r="N27" s="27" t="str">
        <x:v>Not required</x:v>
      </x:c>
      <x:c r="O27" s="21" t="str">
        <x:v>Software point</x:v>
      </x:c>
    </x:row>
    <x:row r="28" ht="48" customHeight="1">
      <x:c r="A28" s="28" t="str">
        <x:v>P22</x:v>
      </x:c>
      <x:c r="B28" s="24" t="str">
        <x:v>Supply-fan accumulated runtime</x:v>
      </x:c>
      <x:c r="C28" s="28" t="str">
        <x:v>AHU02.RUN_HOURS</x:v>
      </x:c>
      <x:c r="D28" s="24" t="str">
        <x:v>Yes</x:v>
      </x:c>
      <x:c r="E28" s="24" t="str">
        <x:v>AHU maintenance detail</x:v>
      </x:c>
      <x:c r="F28" s="24" t="str">
        <x:v>RO</x:v>
      </x:c>
      <x:c r="G28" s="24" t="str">
        <x:v>h</x:v>
      </x:c>
      <x:c r="H28" s="24" t="str">
        <x:v>n/a</x:v>
      </x:c>
      <x:c r="I28" s="24" t="str">
        <x:v>Not specified</x:v>
      </x:c>
      <x:c r="J28" s="24" t="str">
        <x:v>Not specified</x:v>
      </x:c>
      <x:c r="K28" s="28" t="str">
        <x:v>None</x:v>
      </x:c>
      <x:c r="L28" s="35" t="str">
        <x:v>Confirmed</x:v>
      </x:c>
      <x:c r="M28" s="28" t="str">
        <x:v>PL-C P22</x:v>
      </x:c>
      <x:c r="N28" s="28" t="str">
        <x:v>Not required</x:v>
      </x:c>
      <x:c r="O28" s="24" t="str">
        <x:v>Software point</x:v>
      </x:c>
    </x:row>
    <x:row r="29" ht="48" customHeight="1">
      <x:c r="A29" s="27" t="str">
        <x:v>P23</x:v>
      </x:c>
      <x:c r="B29" s="21" t="str">
        <x:v>Supply-fan start count</x:v>
      </x:c>
      <x:c r="C29" s="27" t="str">
        <x:v>AHU02.START_COUNT</x:v>
      </x:c>
      <x:c r="D29" s="21" t="str">
        <x:v>Yes</x:v>
      </x:c>
      <x:c r="E29" s="21" t="str">
        <x:v>AHU maintenance detail</x:v>
      </x:c>
      <x:c r="F29" s="21" t="str">
        <x:v>RO</x:v>
      </x:c>
      <x:c r="G29" s="21" t="str">
        <x:v>count</x:v>
      </x:c>
      <x:c r="H29" s="21" t="str">
        <x:v>n/a</x:v>
      </x:c>
      <x:c r="I29" s="21" t="str">
        <x:v>Not specified</x:v>
      </x:c>
      <x:c r="J29" s="21" t="str">
        <x:v>Not specified</x:v>
      </x:c>
      <x:c r="K29" s="27" t="str">
        <x:v>None</x:v>
      </x:c>
      <x:c r="L29" s="35" t="str">
        <x:v>Confirmed</x:v>
      </x:c>
      <x:c r="M29" s="27" t="str">
        <x:v>PL-C P23</x:v>
      </x:c>
      <x:c r="N29" s="27" t="str">
        <x:v>Not required</x:v>
      </x:c>
      <x:c r="O29" s="21" t="str">
        <x:v>Software point</x:v>
      </x:c>
    </x:row>
    <x:row r="30" ht="48" customHeight="1">
      <x:c r="A30" s="28" t="str">
        <x:v>P24</x:v>
      </x:c>
      <x:c r="B30" s="24" t="str">
        <x:v>Return-air relative humidity</x:v>
      </x:c>
      <x:c r="C30" s="28" t="str">
        <x:v>AHU02.RAH</x:v>
      </x:c>
      <x:c r="D30" s="24" t="str">
        <x:v>Yes</x:v>
      </x:c>
      <x:c r="E30" s="24" t="str">
        <x:v>AHU main graphic</x:v>
      </x:c>
      <x:c r="F30" s="24" t="str">
        <x:v>RO</x:v>
      </x:c>
      <x:c r="G30" s="24" t="str">
        <x:v>%RH</x:v>
      </x:c>
      <x:c r="H30" s="24" t="str">
        <x:v>n/a</x:v>
      </x:c>
      <x:c r="I30" s="24" t="str">
        <x:v>Not specified</x:v>
      </x:c>
      <x:c r="J30" s="24" t="str">
        <x:v>Not specified</x:v>
      </x:c>
      <x:c r="K30" s="28" t="str">
        <x:v>None</x:v>
      </x:c>
      <x:c r="L30" s="35" t="str">
        <x:v>Confirmed</x:v>
      </x:c>
      <x:c r="M30" s="28" t="str">
        <x:v>PL-C P24</x:v>
      </x:c>
      <x:c r="N30" s="28" t="str">
        <x:v>Not required</x:v>
      </x:c>
      <x:c r="O30" s="24" t="str">
        <x:v>AI</x:v>
      </x:c>
    </x:row>
    <x:row r="31" ht="48" customHeight="1">
      <x:c r="A31" s="27" t="str">
        <x:v>P25</x:v>
      </x:c>
      <x:c r="B31" s="21" t="str">
        <x:v>Return-air relative-humidity setpoint</x:v>
      </x:c>
      <x:c r="C31" s="27" t="str">
        <x:v>AHU02.RAH_SP</x:v>
      </x:c>
      <x:c r="D31" s="21" t="str">
        <x:v>Yes</x:v>
      </x:c>
      <x:c r="E31" s="21" t="str">
        <x:v>AHU main graphic</x:v>
      </x:c>
      <x:c r="F31" s="21" t="str">
        <x:v>RW</x:v>
      </x:c>
      <x:c r="G31" s="21" t="str">
        <x:v>%RH</x:v>
      </x:c>
      <x:c r="H31" s="21" t="str">
        <x:v>n/a</x:v>
      </x:c>
      <x:c r="I31" s="21" t="str">
        <x:v>Not specified</x:v>
      </x:c>
      <x:c r="J31" s="21" t="str">
        <x:v>Not specified</x:v>
      </x:c>
      <x:c r="K31" s="27" t="str">
        <x:v>None</x:v>
      </x:c>
      <x:c r="L31" s="35" t="str">
        <x:v>Confirmed</x:v>
      </x:c>
      <x:c r="M31" s="27" t="str">
        <x:v>PL-C P25</x:v>
      </x:c>
      <x:c r="N31" s="27" t="str">
        <x:v>Not required</x:v>
      </x:c>
      <x:c r="O31" s="21" t="str">
        <x:v>Software point</x:v>
      </x:c>
    </x:row>
    <x:row r="32" ht="48" customHeight="1">
      <x:c r="A32" s="28" t="str">
        <x:v>P26</x:v>
      </x:c>
      <x:c r="B32" s="24" t="str">
        <x:v>Humidifier output (ON/OFF)</x:v>
      </x:c>
      <x:c r="C32" s="28" t="str">
        <x:v>AHU02.HUM_CMD</x:v>
      </x:c>
      <x:c r="D32" s="24" t="str">
        <x:v>Yes</x:v>
      </x:c>
      <x:c r="E32" s="24" t="str">
        <x:v>AHU main graphic</x:v>
      </x:c>
      <x:c r="F32" s="24" t="str">
        <x:v>RO</x:v>
      </x:c>
      <x:c r="G32" s="24" t="str">
        <x:v>enum</x:v>
      </x:c>
      <x:c r="H32" s="24" t="str">
        <x:v>0=OFF; 1=ON</x:v>
      </x:c>
      <x:c r="I32" s="24" t="str">
        <x:v>Not specified</x:v>
      </x:c>
      <x:c r="J32" s="24" t="str">
        <x:v>Not specified</x:v>
      </x:c>
      <x:c r="K32" s="28" t="str">
        <x:v>None</x:v>
      </x:c>
      <x:c r="L32" s="35" t="str">
        <x:v>Confirmed</x:v>
      </x:c>
      <x:c r="M32" s="28" t="str">
        <x:v>PL-C P26</x:v>
      </x:c>
      <x:c r="N32" s="28" t="str">
        <x:v>Not required</x:v>
      </x:c>
      <x:c r="O32" s="24" t="str">
        <x:v>DO</x:v>
      </x:c>
    </x:row>
    <x:row r="33" ht="48" customHeight="1">
      <x:c r="A33" s="27" t="str">
        <x:v>P27</x:v>
      </x:c>
      <x:c r="B33" s="21" t="str">
        <x:v>Humidification enable command</x:v>
      </x:c>
      <x:c r="C33" s="27" t="str">
        <x:v>AHU02.HUM_ENABLE_CMD</x:v>
      </x:c>
      <x:c r="D33" s="21" t="str">
        <x:v>Yes</x:v>
      </x:c>
      <x:c r="E33" s="21" t="str">
        <x:v>AHU main graphic</x:v>
      </x:c>
      <x:c r="F33" s="21" t="str">
        <x:v>RW</x:v>
      </x:c>
      <x:c r="G33" s="21" t="str">
        <x:v>enum</x:v>
      </x:c>
      <x:c r="H33" s="21" t="str">
        <x:v>0=Disabled; 1=Enabled</x:v>
      </x:c>
      <x:c r="I33" s="21" t="str">
        <x:v>Not specified</x:v>
      </x:c>
      <x:c r="J33" s="21" t="str">
        <x:v>Not specified</x:v>
      </x:c>
      <x:c r="K33" s="27" t="str">
        <x:v>None</x:v>
      </x:c>
      <x:c r="L33" s="35" t="str">
        <x:v>Confirmed</x:v>
      </x:c>
      <x:c r="M33" s="27" t="str">
        <x:v>PL-C P27</x:v>
      </x:c>
      <x:c r="N33" s="27" t="str">
        <x:v>Not required</x:v>
      </x:c>
      <x:c r="O33" s="21" t="str">
        <x:v>Software point</x:v>
      </x:c>
    </x:row>
    <x:row r="34" ht="48" customHeight="1">
      <x:c r="A34" s="28" t="str">
        <x:v>P28</x:v>
      </x:c>
      <x:c r="B34" s="24" t="str">
        <x:v>Humidifier run status</x:v>
      </x:c>
      <x:c r="C34" s="28" t="str">
        <x:v>AHU02.HUM_RUN</x:v>
      </x:c>
      <x:c r="D34" s="24" t="str">
        <x:v>Yes</x:v>
      </x:c>
      <x:c r="E34" s="24" t="str">
        <x:v>AHU main graphic</x:v>
      </x:c>
      <x:c r="F34" s="24" t="str">
        <x:v>RO</x:v>
      </x:c>
      <x:c r="G34" s="24" t="str">
        <x:v>enum</x:v>
      </x:c>
      <x:c r="H34" s="24" t="str">
        <x:v>0=Stopped; 1=Running</x:v>
      </x:c>
      <x:c r="I34" s="24" t="str">
        <x:v>Not specified</x:v>
      </x:c>
      <x:c r="J34" s="24" t="str">
        <x:v>Not specified</x:v>
      </x:c>
      <x:c r="K34" s="28" t="str">
        <x:v>None</x:v>
      </x:c>
      <x:c r="L34" s="35" t="str">
        <x:v>Confirmed</x:v>
      </x:c>
      <x:c r="M34" s="28" t="str">
        <x:v>PL-C P28</x:v>
      </x:c>
      <x:c r="N34" s="28" t="str">
        <x:v>Not required</x:v>
      </x:c>
      <x:c r="O34" s="24" t="str">
        <x:v>DI</x:v>
      </x:c>
    </x:row>
    <x:row r="35" ht="25" customHeight="1">
      <x:c r="A35" s="2"/>
      <x:c r="B35" s="2"/>
      <x:c r="C35" s="2"/>
      <x:c r="D35" s="2"/>
      <x:c r="E35" s="2"/>
      <x:c r="F35" s="2"/>
      <x:c r="G35" s="2"/>
      <x:c r="H35" s="2"/>
      <x:c r="I35" s="2"/>
      <x:c r="J35" s="2"/>
      <x:c r="K35" s="2"/>
      <x:c r="L35" s="2"/>
      <x:c r="M35" s="2"/>
      <x:c r="N35" s="2"/>
      <x:c r="O35" s="2"/>
    </x:row>
    <x:row r="36" ht="34" customHeight="1">
      <x:c r="A36" s="7" t="str">
        <x:v>RO = read-only. RW = operator write access. “Not specified” means no numeric target was supplied for this comparison. Confirmed means the reviewer judged the evidence consistent. Use Not confirmed for a discrepancy and Not reviewed when pending.</x:v>
      </x:c>
      <x:c r="B36" s="7" t="str">
        <x:v>RO = read-only. RW = operator write access. “Not specified” means no numeric target was supplied for this comparison. Confirmed means the reviewer judged the evidence consistent. Use Not confirmed for a discrepancy and Not reviewed when pending.</x:v>
      </x:c>
      <x:c r="C36" s="7" t="str">
        <x:v>RO = read-only. RW = operator write access. “Not specified” means no numeric target was supplied for this comparison. Confirmed means the reviewer judged the evidence consistent. Use Not confirmed for a discrepancy and Not reviewed when pending.</x:v>
      </x:c>
      <x:c r="D36" s="7" t="str">
        <x:v>RO = read-only. RW = operator write access. “Not specified” means no numeric target was supplied for this comparison. Confirmed means the reviewer judged the evidence consistent. Use Not confirmed for a discrepancy and Not reviewed when pending.</x:v>
      </x:c>
      <x:c r="E36" s="7" t="str">
        <x:v>RO = read-only. RW = operator write access. “Not specified” means no numeric target was supplied for this comparison. Confirmed means the reviewer judged the evidence consistent. Use Not confirmed for a discrepancy and Not reviewed when pending.</x:v>
      </x:c>
      <x:c r="F36" s="7" t="str">
        <x:v>RO = read-only. RW = operator write access. “Not specified” means no numeric target was supplied for this comparison. Confirmed means the reviewer judged the evidence consistent. Use Not confirmed for a discrepancy and Not reviewed when pending.</x:v>
      </x:c>
      <x:c r="G36" s="7" t="str">
        <x:v>RO = read-only. RW = operator write access. “Not specified” means no numeric target was supplied for this comparison. Confirmed means the reviewer judged the evidence consistent. Use Not confirmed for a discrepancy and Not reviewed when pending.</x:v>
      </x:c>
      <x:c r="H36" s="7" t="str">
        <x:v>RO = read-only. RW = operator write access. “Not specified” means no numeric target was supplied for this comparison. Confirmed means the reviewer judged the evidence consistent. Use Not confirmed for a discrepancy and Not reviewed when pending.</x:v>
      </x:c>
      <x:c r="I36" s="7" t="str">
        <x:v>RO = read-only. RW = operator write access. “Not specified” means no numeric target was supplied for this comparison. Confirmed means the reviewer judged the evidence consistent. Use Not confirmed for a discrepancy and Not reviewed when pending.</x:v>
      </x:c>
      <x:c r="J36" s="7" t="str">
        <x:v>RO = read-only. RW = operator write access. “Not specified” means no numeric target was supplied for this comparison. Confirmed means the reviewer judged the evidence consistent. Use Not confirmed for a discrepancy and Not reviewed when pending.</x:v>
      </x:c>
      <x:c r="K36" s="7" t="str">
        <x:v>RO = read-only. RW = operator write access. “Not specified” means no numeric target was supplied for this comparison. Confirmed means the reviewer judged the evidence consistent. Use Not confirmed for a discrepancy and Not reviewed when pending.</x:v>
      </x:c>
      <x:c r="L36" s="7" t="str">
        <x:v>RO = read-only. RW = operator write access. “Not specified” means no numeric target was supplied for this comparison. Confirmed means the reviewer judged the evidence consistent. Use Not confirmed for a discrepancy and Not reviewed when pending.</x:v>
      </x:c>
      <x:c r="M36" s="7" t="str">
        <x:v>RO = read-only. RW = operator write access. “Not specified” means no numeric target was supplied for this comparison. Confirmed means the reviewer judged the evidence consistent. Use Not confirmed for a discrepancy and Not reviewed when pending.</x:v>
      </x:c>
      <x:c r="N36" s="7" t="str">
        <x:v>RO = read-only. RW = operator write access. “Not specified” means no numeric target was supplied for this comparison. Confirmed means the reviewer judged the evidence consistent. Use Not confirmed for a discrepancy and Not reviewed when pending.</x:v>
      </x:c>
      <x:c r="O36" s="7" t="str">
        <x:v>RO = read-only. RW = operator write access. “Not specified” means no numeric target was supplied for this comparison. Confirmed means the reviewer judged the evidence consistent. Use Not confirmed for a discrepancy and Not reviewed when pending.</x:v>
      </x:c>
    </x:row>
    <x:row r="37" ht="25" customHeight="1">
      <x:c r="A37" s="2"/>
      <x:c r="B37" s="2"/>
      <x:c r="C37" s="2"/>
      <x:c r="D37" s="2"/>
      <x:c r="E37" s="2"/>
      <x:c r="F37" s="2"/>
      <x:c r="G37" s="2"/>
      <x:c r="H37" s="2"/>
      <x:c r="I37" s="2"/>
      <x:c r="J37" s="2"/>
      <x:c r="K37" s="2"/>
      <x:c r="L37" s="2"/>
      <x:c r="M37" s="2"/>
      <x:c r="N37" s="2"/>
      <x:c r="O37" s="2"/>
    </x:row>
  </x:sheetData>
  <x:mergeCells>
    <x:mergeCell ref="A2:O2"/>
    <x:mergeCell ref="A4:O4"/>
    <x:mergeCell ref="A36:O36"/>
  </x:mergeCells>
  <x:dataValidations count="1">
    <x:dataValidation type="list" errorStyle="stop" showErrorMessage="1" errorTitle="Choose a listed value" error="Use one of the values in this cell’s list." sqref="L7:L34">
      <x:formula1>"Confirmed,Not confirmed,Not reviewed"</x:formula1>
    </x:dataValidation>
  </x:dataValidations>
  <x:pageMargins left="0.7" right="0.7" top="0.75" bottom="0.75" header="0.3" footer="0.3"/>
  <x:tableParts count="1">
    <x:tablePart xmlns:r="http://schemas.openxmlformats.org/officeDocument/2006/relationships" r:id="R5eb3f953490e4cb3"/>
  </x:tableParts>
</x:worksheet>
</file>

<file path=xl/worksheets/sheet6.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23" hidden="0" customWidth="1"/>
    <x:col min="2" max="2" width="10" hidden="0" customWidth="1"/>
    <x:col min="3" max="3" width="13" hidden="0" customWidth="1"/>
    <x:col min="4" max="4" width="31" hidden="0" customWidth="1"/>
    <x:col min="5" max="5" width="13" hidden="0" customWidth="1"/>
    <x:col min="6" max="6" width="31" hidden="0" customWidth="1"/>
    <x:col min="7" max="7" width="27" hidden="0" customWidth="1"/>
    <x:col min="8" max="8" width="13" hidden="0" customWidth="1"/>
    <x:col min="9" max="9" width="11" hidden="0" customWidth="1"/>
    <x:col min="10" max="10" width="41" hidden="0" customWidth="1"/>
    <x:col min="11" max="11" width="18" hidden="0" customWidth="1"/>
    <x:col min="12" max="12" width="23" hidden="0" customWidth="1"/>
    <x:col min="13" max="13" width="27" hidden="0" customWidth="1"/>
    <x:col min="14" max="14" width="20" hidden="0" customWidth="1"/>
  </x:cols>
  <x:sheetData>
    <x:row r="1" ht="25" customHeight="1">
      <x:c r="A1" s="2"/>
      <x:c r="B1" s="2"/>
      <x:c r="C1" s="2"/>
      <x:c r="D1" s="2"/>
      <x:c r="E1" s="2"/>
      <x:c r="F1" s="2"/>
      <x:c r="G1" s="2"/>
      <x:c r="H1" s="2"/>
      <x:c r="I1" s="2"/>
      <x:c r="J1" s="2"/>
      <x:c r="K1" s="2"/>
      <x:c r="L1" s="2"/>
      <x:c r="M1" s="2"/>
      <x:c r="N1" s="2"/>
    </x:row>
    <x:row r="2" ht="37" customHeight="1">
      <x:c r="A2" s="4" t="str">
        <x:v>Configuration and graphic records</x:v>
      </x:c>
      <x:c r="B2" s="4" t="str">
        <x:v>Configuration and graphic records</x:v>
      </x:c>
      <x:c r="C2" s="4" t="str">
        <x:v>Configuration and graphic records</x:v>
      </x:c>
      <x:c r="D2" s="4" t="str">
        <x:v>Configuration and graphic records</x:v>
      </x:c>
      <x:c r="E2" s="4" t="str">
        <x:v>Configuration and graphic records</x:v>
      </x:c>
      <x:c r="F2" s="4" t="str">
        <x:v>Configuration and graphic records</x:v>
      </x:c>
      <x:c r="G2" s="4" t="str">
        <x:v>Configuration and graphic records</x:v>
      </x:c>
      <x:c r="H2" s="4" t="str">
        <x:v>Configuration and graphic records</x:v>
      </x:c>
      <x:c r="I2" s="4" t="str">
        <x:v>Configuration and graphic records</x:v>
      </x:c>
      <x:c r="J2" s="4" t="str">
        <x:v>Configuration and graphic records</x:v>
      </x:c>
      <x:c r="K2" s="4" t="str">
        <x:v>Configuration and graphic records</x:v>
      </x:c>
      <x:c r="L2" s="4" t="str">
        <x:v>Configuration and graphic records</x:v>
      </x:c>
      <x:c r="M2" s="4" t="str">
        <x:v>Configuration and graphic records</x:v>
      </x:c>
      <x:c r="N2" s="4" t="str">
        <x:v>Configuration and graphic records</x:v>
      </x:c>
    </x:row>
    <x:row r="3" ht="7" customHeight="1">
      <x:c r="A3" s="5"/>
      <x:c r="B3" s="5"/>
      <x:c r="C3" s="5"/>
      <x:c r="D3" s="5"/>
      <x:c r="E3" s="5"/>
      <x:c r="F3" s="5"/>
      <x:c r="G3" s="5"/>
      <x:c r="H3" s="5"/>
      <x:c r="I3" s="5"/>
      <x:c r="J3" s="5"/>
      <x:c r="K3" s="5"/>
      <x:c r="L3" s="5"/>
      <x:c r="M3" s="5"/>
      <x:c r="N3" s="5"/>
    </x:row>
    <x:row r="4" ht="34" customHeight="1">
      <x:c r="A4" s="7" t="str">
        <x:v>Baseline and revised packages retain separate records. Missing display, missing numeric value and a real zero are different conditions.</x:v>
      </x:c>
      <x:c r="B4" s="7" t="str">
        <x:v>Baseline and revised packages retain separate records. Missing display, missing numeric value and a real zero are different conditions.</x:v>
      </x:c>
      <x:c r="C4" s="7" t="str">
        <x:v>Baseline and revised packages retain separate records. Missing display, missing numeric value and a real zero are different conditions.</x:v>
      </x:c>
      <x:c r="D4" s="7" t="str">
        <x:v>Baseline and revised packages retain separate records. Missing display, missing numeric value and a real zero are different conditions.</x:v>
      </x:c>
      <x:c r="E4" s="7" t="str">
        <x:v>Baseline and revised packages retain separate records. Missing display, missing numeric value and a real zero are different conditions.</x:v>
      </x:c>
      <x:c r="F4" s="7" t="str">
        <x:v>Baseline and revised packages retain separate records. Missing display, missing numeric value and a real zero are different conditions.</x:v>
      </x:c>
      <x:c r="G4" s="7" t="str">
        <x:v>Baseline and revised packages retain separate records. Missing display, missing numeric value and a real zero are different conditions.</x:v>
      </x:c>
      <x:c r="H4" s="7" t="str">
        <x:v>Baseline and revised packages retain separate records. Missing display, missing numeric value and a real zero are different conditions.</x:v>
      </x:c>
      <x:c r="I4" s="7" t="str">
        <x:v>Baseline and revised packages retain separate records. Missing display, missing numeric value and a real zero are different conditions.</x:v>
      </x:c>
      <x:c r="J4" s="7" t="str">
        <x:v>Baseline and revised packages retain separate records. Missing display, missing numeric value and a real zero are different conditions.</x:v>
      </x:c>
      <x:c r="K4" s="7" t="str">
        <x:v>Baseline and revised packages retain separate records. Missing display, missing numeric value and a real zero are different conditions.</x:v>
      </x:c>
      <x:c r="L4" s="7" t="str">
        <x:v>Baseline and revised packages retain separate records. Missing display, missing numeric value and a real zero are different conditions.</x:v>
      </x:c>
      <x:c r="M4" s="7" t="str">
        <x:v>Baseline and revised packages retain separate records. Missing display, missing numeric value and a real zero are different conditions.</x:v>
      </x:c>
      <x:c r="N4" s="7" t="str">
        <x:v>Baseline and revised packages retain separate records. Missing display, missing numeric value and a real zero are different conditions.</x:v>
      </x:c>
    </x:row>
    <x:row r="5" ht="25" customHeight="1">
      <x:c r="A5" s="2"/>
      <x:c r="B5" s="2"/>
      <x:c r="C5" s="2"/>
      <x:c r="D5" s="2"/>
      <x:c r="E5" s="2"/>
      <x:c r="F5" s="2"/>
      <x:c r="G5" s="2"/>
      <x:c r="H5" s="2"/>
      <x:c r="I5" s="2"/>
      <x:c r="J5" s="2"/>
      <x:c r="K5" s="2"/>
      <x:c r="L5" s="2"/>
      <x:c r="M5" s="2"/>
      <x:c r="N5" s="2"/>
    </x:row>
    <x:row r="6" ht="44" customHeight="1">
      <x:c r="A6" s="16" t="str">
        <x:v>Record key</x:v>
      </x:c>
      <x:c r="B6" s="17" t="str">
        <x:v>Point ID</x:v>
      </x:c>
      <x:c r="C6" s="17" t="str">
        <x:v>Package</x:v>
      </x:c>
      <x:c r="D6" s="17" t="str">
        <x:v>Registered source</x:v>
      </x:c>
      <x:c r="E6" s="17" t="str">
        <x:v>Display present</x:v>
      </x:c>
      <x:c r="F6" s="17" t="str">
        <x:v>Graphic source</x:v>
      </x:c>
      <x:c r="G6" s="17" t="str">
        <x:v>Display location</x:v>
      </x:c>
      <x:c r="H6" s="17" t="str">
        <x:v>Access</x:v>
      </x:c>
      <x:c r="I6" s="17" t="str">
        <x:v>Unit</x:v>
      </x:c>
      <x:c r="J6" s="17" t="str">
        <x:v>State labels</x:v>
      </x:c>
      <x:c r="K6" s="17" t="str">
        <x:v>Recorded value</x:v>
      </x:c>
      <x:c r="L6" s="17" t="str">
        <x:v>Source reference</x:v>
      </x:c>
      <x:c r="M6" s="17" t="str">
        <x:v>Trend source</x:v>
      </x:c>
      <x:c r="N6" s="18" t="str">
        <x:v>Recorded point type</x:v>
      </x:c>
    </x:row>
    <x:row r="7" ht="42" customHeight="1">
      <x:c r="A7" s="27" t="str">
        <x:v>Baseline:P01</x:v>
      </x:c>
      <x:c r="B7" s="27" t="str">
        <x:v>P01</x:v>
      </x:c>
      <x:c r="C7" s="21" t="str">
        <x:v>Baseline</x:v>
      </x:c>
      <x:c r="D7" s="27" t="str">
        <x:v>AHU02.AHU_CMD</x:v>
      </x:c>
      <x:c r="E7" s="21" t="str">
        <x:v>Yes</x:v>
      </x:c>
      <x:c r="F7" s="27" t="str">
        <x:v>AHU02.AHU_CMD</x:v>
      </x:c>
      <x:c r="G7" s="21" t="str">
        <x:v>AHU main graphic</x:v>
      </x:c>
      <x:c r="H7" s="21" t="str">
        <x:v>RW</x:v>
      </x:c>
      <x:c r="I7" s="21" t="str">
        <x:v>enum</x:v>
      </x:c>
      <x:c r="J7" s="21" t="str">
        <x:v>0=Stop; 1=Start</x:v>
      </x:c>
      <x:c r="K7" s="21" t="str">
        <x:v>Not supplied</x:v>
      </x:c>
      <x:c r="L7" s="27" t="str">
        <x:v>CFG-1 P01</x:v>
      </x:c>
      <x:c r="M7" s="27" t="str">
        <x:v>Not required</x:v>
      </x:c>
      <x:c r="N7" s="21" t="str">
        <x:v>DO</x:v>
      </x:c>
    </x:row>
    <x:row r="8" ht="42" customHeight="1">
      <x:c r="A8" s="28" t="str">
        <x:v>Baseline:P02</x:v>
      </x:c>
      <x:c r="B8" s="28" t="str">
        <x:v>P02</x:v>
      </x:c>
      <x:c r="C8" s="24" t="str">
        <x:v>Baseline</x:v>
      </x:c>
      <x:c r="D8" s="28" t="str">
        <x:v>AHU02.RUN</x:v>
      </x:c>
      <x:c r="E8" s="24" t="str">
        <x:v>Yes</x:v>
      </x:c>
      <x:c r="F8" s="28" t="str">
        <x:v>AHU02.RUN</x:v>
      </x:c>
      <x:c r="G8" s="24" t="str">
        <x:v>AHU main graphic</x:v>
      </x:c>
      <x:c r="H8" s="24" t="str">
        <x:v>RO</x:v>
      </x:c>
      <x:c r="I8" s="24" t="str">
        <x:v>enum</x:v>
      </x:c>
      <x:c r="J8" s="24" t="str">
        <x:v>0=Stopped; 1=Running</x:v>
      </x:c>
      <x:c r="K8" s="24" t="str">
        <x:v>Not supplied</x:v>
      </x:c>
      <x:c r="L8" s="28" t="str">
        <x:v>CFG-1 P02</x:v>
      </x:c>
      <x:c r="M8" s="28" t="str">
        <x:v>Not required</x:v>
      </x:c>
      <x:c r="N8" s="24" t="str">
        <x:v>DI</x:v>
      </x:c>
    </x:row>
    <x:row r="9" ht="42" customHeight="1">
      <x:c r="A9" s="27" t="str">
        <x:v>Baseline:P03</x:v>
      </x:c>
      <x:c r="B9" s="27" t="str">
        <x:v>P03</x:v>
      </x:c>
      <x:c r="C9" s="21" t="str">
        <x:v>Baseline</x:v>
      </x:c>
      <x:c r="D9" s="27" t="str">
        <x:v>AHU02.FAN_FAULT</x:v>
      </x:c>
      <x:c r="E9" s="21" t="str">
        <x:v>Yes</x:v>
      </x:c>
      <x:c r="F9" s="27" t="str">
        <x:v>AHU02.FAN_FAULT</x:v>
      </x:c>
      <x:c r="G9" s="21" t="str">
        <x:v>AHU main graphic</x:v>
      </x:c>
      <x:c r="H9" s="21" t="str">
        <x:v>RO</x:v>
      </x:c>
      <x:c r="I9" s="21" t="str">
        <x:v>enum</x:v>
      </x:c>
      <x:c r="J9" s="21" t="str">
        <x:v>0=Normal; 1=Alarm</x:v>
      </x:c>
      <x:c r="K9" s="21" t="str">
        <x:v>Not supplied</x:v>
      </x:c>
      <x:c r="L9" s="27" t="str">
        <x:v>CFG-1 P03</x:v>
      </x:c>
      <x:c r="M9" s="27" t="str">
        <x:v>Not required</x:v>
      </x:c>
      <x:c r="N9" s="21" t="str">
        <x:v>DI</x:v>
      </x:c>
    </x:row>
    <x:row r="10" ht="42" customHeight="1">
      <x:c r="A10" s="28" t="str">
        <x:v>Baseline:P04</x:v>
      </x:c>
      <x:c r="B10" s="28" t="str">
        <x:v>P04</x:v>
      </x:c>
      <x:c r="C10" s="24" t="str">
        <x:v>Baseline</x:v>
      </x:c>
      <x:c r="D10" s="28" t="str">
        <x:v>AHU02.RF_RUN</x:v>
      </x:c>
      <x:c r="E10" s="24" t="str">
        <x:v>Yes</x:v>
      </x:c>
      <x:c r="F10" s="28" t="str">
        <x:v>AHU02.RF_RUN</x:v>
      </x:c>
      <x:c r="G10" s="24" t="str">
        <x:v>AHU main graphic</x:v>
      </x:c>
      <x:c r="H10" s="24" t="str">
        <x:v>RO</x:v>
      </x:c>
      <x:c r="I10" s="24" t="str">
        <x:v>enum</x:v>
      </x:c>
      <x:c r="J10" s="24" t="str">
        <x:v>0=Stopped; 1=Running</x:v>
      </x:c>
      <x:c r="K10" s="24" t="str">
        <x:v>Not supplied</x:v>
      </x:c>
      <x:c r="L10" s="28" t="str">
        <x:v>CFG-1 P04</x:v>
      </x:c>
      <x:c r="M10" s="28" t="str">
        <x:v>Not required</x:v>
      </x:c>
      <x:c r="N10" s="24" t="str">
        <x:v>DI</x:v>
      </x:c>
    </x:row>
    <x:row r="11" ht="42" customHeight="1">
      <x:c r="A11" s="27" t="str">
        <x:v>Baseline:P05</x:v>
      </x:c>
      <x:c r="B11" s="27" t="str">
        <x:v>P05</x:v>
      </x:c>
      <x:c r="C11" s="21" t="str">
        <x:v>Baseline</x:v>
      </x:c>
      <x:c r="D11" s="27" t="str">
        <x:v>AHU02.RF_FAULT</x:v>
      </x:c>
      <x:c r="E11" s="21" t="str">
        <x:v>Yes</x:v>
      </x:c>
      <x:c r="F11" s="27" t="str">
        <x:v>AHU02.RF_FAULT</x:v>
      </x:c>
      <x:c r="G11" s="21" t="str">
        <x:v>AHU main graphic</x:v>
      </x:c>
      <x:c r="H11" s="21" t="str">
        <x:v>RO</x:v>
      </x:c>
      <x:c r="I11" s="21" t="str">
        <x:v>enum</x:v>
      </x:c>
      <x:c r="J11" s="21" t="str">
        <x:v>0=Normal; 1=Alarm</x:v>
      </x:c>
      <x:c r="K11" s="21" t="str">
        <x:v>Not supplied</x:v>
      </x:c>
      <x:c r="L11" s="27" t="str">
        <x:v>CFG-1 P05</x:v>
      </x:c>
      <x:c r="M11" s="27" t="str">
        <x:v>Not required</x:v>
      </x:c>
      <x:c r="N11" s="21" t="str">
        <x:v>DI</x:v>
      </x:c>
    </x:row>
    <x:row r="12" ht="42" customHeight="1">
      <x:c r="A12" s="28" t="str">
        <x:v>Baseline:P06</x:v>
      </x:c>
      <x:c r="B12" s="28" t="str">
        <x:v>P06</x:v>
      </x:c>
      <x:c r="C12" s="24" t="str">
        <x:v>Baseline</x:v>
      </x:c>
      <x:c r="D12" s="28" t="str">
        <x:v>AHU02.SAT</x:v>
      </x:c>
      <x:c r="E12" s="24" t="str">
        <x:v>Yes</x:v>
      </x:c>
      <x:c r="F12" s="28" t="str">
        <x:v>AHU01.SAT</x:v>
      </x:c>
      <x:c r="G12" s="24" t="str">
        <x:v>AHU main graphic</x:v>
      </x:c>
      <x:c r="H12" s="24" t="str">
        <x:v>RO</x:v>
      </x:c>
      <x:c r="I12" s="24" t="str">
        <x:v>°C</x:v>
      </x:c>
      <x:c r="J12" s="24" t="str">
        <x:v>n/a</x:v>
      </x:c>
      <x:c r="K12" s="24" t="str">
        <x:v>Not supplied</x:v>
      </x:c>
      <x:c r="L12" s="28" t="str">
        <x:v>CFG-1 P06</x:v>
      </x:c>
      <x:c r="M12" s="28" t="str">
        <x:v>AHU02.SAT</x:v>
      </x:c>
      <x:c r="N12" s="24" t="str">
        <x:v>AI</x:v>
      </x:c>
    </x:row>
    <x:row r="13" ht="42" customHeight="1">
      <x:c r="A13" s="27" t="str">
        <x:v>Baseline:P07</x:v>
      </x:c>
      <x:c r="B13" s="27" t="str">
        <x:v>P07</x:v>
      </x:c>
      <x:c r="C13" s="21" t="str">
        <x:v>Baseline</x:v>
      </x:c>
      <x:c r="D13" s="27" t="str">
        <x:v>AHU02.SAT_SP</x:v>
      </x:c>
      <x:c r="E13" s="21" t="str">
        <x:v>Yes</x:v>
      </x:c>
      <x:c r="F13" s="27" t="str">
        <x:v>AHU02.SAT_SP</x:v>
      </x:c>
      <x:c r="G13" s="21" t="str">
        <x:v>AHU main graphic</x:v>
      </x:c>
      <x:c r="H13" s="21" t="str">
        <x:v>RW</x:v>
      </x:c>
      <x:c r="I13" s="21" t="str">
        <x:v>°C</x:v>
      </x:c>
      <x:c r="J13" s="21" t="str">
        <x:v>n/a</x:v>
      </x:c>
      <x:c r="K13" s="36" t="n">
        <x:v>22</x:v>
      </x:c>
      <x:c r="L13" s="27" t="str">
        <x:v>CFG-1 P07</x:v>
      </x:c>
      <x:c r="M13" s="27" t="str">
        <x:v>Not required</x:v>
      </x:c>
      <x:c r="N13" s="21" t="str">
        <x:v>Software point</x:v>
      </x:c>
    </x:row>
    <x:row r="14" ht="42" customHeight="1">
      <x:c r="A14" s="28" t="str">
        <x:v>Baseline:P08</x:v>
      </x:c>
      <x:c r="B14" s="28" t="str">
        <x:v>P08</x:v>
      </x:c>
      <x:c r="C14" s="24" t="str">
        <x:v>Baseline</x:v>
      </x:c>
      <x:c r="D14" s="28" t="str">
        <x:v>AHU02.CHW_HW_VLV_CMD</x:v>
      </x:c>
      <x:c r="E14" s="24" t="str">
        <x:v>Yes</x:v>
      </x:c>
      <x:c r="F14" s="28" t="str">
        <x:v>AHU02.CHW_HW_VLV_CMD</x:v>
      </x:c>
      <x:c r="G14" s="24" t="str">
        <x:v>AHU main graphic</x:v>
      </x:c>
      <x:c r="H14" s="24" t="str">
        <x:v>RO</x:v>
      </x:c>
      <x:c r="I14" s="24" t="str">
        <x:v>%</x:v>
      </x:c>
      <x:c r="J14" s="24" t="str">
        <x:v>n/a</x:v>
      </x:c>
      <x:c r="K14" s="24" t="str">
        <x:v>Not supplied</x:v>
      </x:c>
      <x:c r="L14" s="28" t="str">
        <x:v>CFG-1 P08</x:v>
      </x:c>
      <x:c r="M14" s="28" t="str">
        <x:v>Not required</x:v>
      </x:c>
      <x:c r="N14" s="24" t="str">
        <x:v>AO</x:v>
      </x:c>
    </x:row>
    <x:row r="15" ht="42" customHeight="1">
      <x:c r="A15" s="27" t="str">
        <x:v>Baseline:P09</x:v>
      </x:c>
      <x:c r="B15" s="27" t="str">
        <x:v>P09</x:v>
      </x:c>
      <x:c r="C15" s="21" t="str">
        <x:v>Baseline</x:v>
      </x:c>
      <x:c r="D15" s="27" t="str">
        <x:v>AHU02.FILTER_DP_ALM</x:v>
      </x:c>
      <x:c r="E15" s="21" t="str">
        <x:v>Yes</x:v>
      </x:c>
      <x:c r="F15" s="27" t="str">
        <x:v>AHU02.FILTER_DP_ALM</x:v>
      </x:c>
      <x:c r="G15" s="21" t="str">
        <x:v>AHU main graphic</x:v>
      </x:c>
      <x:c r="H15" s="21" t="str">
        <x:v>RO</x:v>
      </x:c>
      <x:c r="I15" s="21" t="str">
        <x:v>enum</x:v>
      </x:c>
      <x:c r="J15" s="21" t="str">
        <x:v>0=Normal; 1=Alarm</x:v>
      </x:c>
      <x:c r="K15" s="21" t="str">
        <x:v>Not supplied</x:v>
      </x:c>
      <x:c r="L15" s="27" t="str">
        <x:v>CFG-1 P09</x:v>
      </x:c>
      <x:c r="M15" s="27" t="str">
        <x:v>Not required</x:v>
      </x:c>
      <x:c r="N15" s="21" t="str">
        <x:v>DI</x:v>
      </x:c>
    </x:row>
    <x:row r="16" ht="42" customHeight="1">
      <x:c r="A16" s="28" t="str">
        <x:v>Baseline:P10</x:v>
      </x:c>
      <x:c r="B16" s="28" t="str">
        <x:v>P10</x:v>
      </x:c>
      <x:c r="C16" s="24" t="str">
        <x:v>Baseline</x:v>
      </x:c>
      <x:c r="D16" s="28" t="str">
        <x:v>SITE.OAT</x:v>
      </x:c>
      <x:c r="E16" s="24" t="str">
        <x:v>Yes</x:v>
      </x:c>
      <x:c r="F16" s="28" t="str">
        <x:v>SITE.OAT</x:v>
      </x:c>
      <x:c r="G16" s="24" t="str">
        <x:v>AHU main graphic</x:v>
      </x:c>
      <x:c r="H16" s="24" t="str">
        <x:v>RO</x:v>
      </x:c>
      <x:c r="I16" s="24" t="str">
        <x:v>°C</x:v>
      </x:c>
      <x:c r="J16" s="24" t="str">
        <x:v>n/a</x:v>
      </x:c>
      <x:c r="K16" s="24" t="str">
        <x:v>Not supplied</x:v>
      </x:c>
      <x:c r="L16" s="28" t="str">
        <x:v>CFG-1 P10</x:v>
      </x:c>
      <x:c r="M16" s="28" t="str">
        <x:v>Not required</x:v>
      </x:c>
      <x:c r="N16" s="24" t="str">
        <x:v>AI / shared</x:v>
      </x:c>
    </x:row>
    <x:row r="17" ht="42" customHeight="1">
      <x:c r="A17" s="27" t="str">
        <x:v>Baseline:P11</x:v>
      </x:c>
      <x:c r="B17" s="27" t="str">
        <x:v>P11</x:v>
      </x:c>
      <x:c r="C17" s="21" t="str">
        <x:v>Baseline</x:v>
      </x:c>
      <x:c r="D17" s="27" t="str">
        <x:v>SITE.OAH</x:v>
      </x:c>
      <x:c r="E17" s="21" t="str">
        <x:v>Yes</x:v>
      </x:c>
      <x:c r="F17" s="27" t="str">
        <x:v>SITE.OAH</x:v>
      </x:c>
      <x:c r="G17" s="21" t="str">
        <x:v>AHU main graphic</x:v>
      </x:c>
      <x:c r="H17" s="21" t="str">
        <x:v>RO</x:v>
      </x:c>
      <x:c r="I17" s="21" t="str">
        <x:v>%RH</x:v>
      </x:c>
      <x:c r="J17" s="21" t="str">
        <x:v>n/a</x:v>
      </x:c>
      <x:c r="K17" s="21" t="str">
        <x:v>Not supplied</x:v>
      </x:c>
      <x:c r="L17" s="27" t="str">
        <x:v>CFG-1 P11</x:v>
      </x:c>
      <x:c r="M17" s="27" t="str">
        <x:v>Not required</x:v>
      </x:c>
      <x:c r="N17" s="21" t="str">
        <x:v>AI / shared</x:v>
      </x:c>
    </x:row>
    <x:row r="18" ht="42" customHeight="1">
      <x:c r="A18" s="28" t="str">
        <x:v>Baseline:P12</x:v>
      </x:c>
      <x:c r="B18" s="28" t="str">
        <x:v>P12</x:v>
      </x:c>
      <x:c r="C18" s="24" t="str">
        <x:v>Baseline</x:v>
      </x:c>
      <x:c r="D18" s="28" t="str">
        <x:v>AHU02.ECON_ENABLE_STS</x:v>
      </x:c>
      <x:c r="E18" s="24" t="str">
        <x:v>Yes</x:v>
      </x:c>
      <x:c r="F18" s="28" t="str">
        <x:v>AHU02.ECON_ENABLE_STS</x:v>
      </x:c>
      <x:c r="G18" s="24" t="str">
        <x:v>AHU main graphic</x:v>
      </x:c>
      <x:c r="H18" s="24" t="str">
        <x:v>RO</x:v>
      </x:c>
      <x:c r="I18" s="24" t="str">
        <x:v>enum</x:v>
      </x:c>
      <x:c r="J18" s="24" t="str">
        <x:v>0=Disabled; 1=Enabled</x:v>
      </x:c>
      <x:c r="K18" s="24" t="str">
        <x:v>Not supplied</x:v>
      </x:c>
      <x:c r="L18" s="28" t="str">
        <x:v>CFG-1 P12</x:v>
      </x:c>
      <x:c r="M18" s="28" t="str">
        <x:v>Not required</x:v>
      </x:c>
      <x:c r="N18" s="24" t="str">
        <x:v>Software point</x:v>
      </x:c>
    </x:row>
    <x:row r="19" ht="42" customHeight="1">
      <x:c r="A19" s="27" t="str">
        <x:v>Baseline:P13</x:v>
      </x:c>
      <x:c r="B19" s="27" t="str">
        <x:v>P13</x:v>
      </x:c>
      <x:c r="C19" s="21" t="str">
        <x:v>Baseline</x:v>
      </x:c>
      <x:c r="D19" s="27" t="str">
        <x:v>AHU02.ECON_ACTIVE</x:v>
      </x:c>
      <x:c r="E19" s="21" t="str">
        <x:v>Yes</x:v>
      </x:c>
      <x:c r="F19" s="27" t="str">
        <x:v>AHU02.ECON_ACTIVE</x:v>
      </x:c>
      <x:c r="G19" s="21" t="str">
        <x:v>AHU main graphic</x:v>
      </x:c>
      <x:c r="H19" s="21" t="str">
        <x:v>RO</x:v>
      </x:c>
      <x:c r="I19" s="21" t="str">
        <x:v>enum</x:v>
      </x:c>
      <x:c r="J19" s="21" t="str">
        <x:v>0=Standby; 1=Active</x:v>
      </x:c>
      <x:c r="K19" s="21" t="str">
        <x:v>Not supplied</x:v>
      </x:c>
      <x:c r="L19" s="27" t="str">
        <x:v>CFG-1 P13</x:v>
      </x:c>
      <x:c r="M19" s="27" t="str">
        <x:v>Not required</x:v>
      </x:c>
      <x:c r="N19" s="21" t="str">
        <x:v>Software point</x:v>
      </x:c>
    </x:row>
    <x:row r="20" ht="42" customHeight="1">
      <x:c r="A20" s="28" t="str">
        <x:v>Baseline:P14</x:v>
      </x:c>
      <x:c r="B20" s="28" t="str">
        <x:v>P14</x:v>
      </x:c>
      <x:c r="C20" s="24" t="str">
        <x:v>Baseline</x:v>
      </x:c>
      <x:c r="D20" s="28" t="str">
        <x:v>AHU02.FREEZE_ENABLE_STS</x:v>
      </x:c>
      <x:c r="E20" s="24" t="str">
        <x:v>No</x:v>
      </x:c>
      <x:c r="F20" s="28" t="str">
        <x:v>Not displayed</x:v>
      </x:c>
      <x:c r="G20" s="24" t="str">
        <x:v>Not displayed</x:v>
      </x:c>
      <x:c r="H20" s="24" t="str">
        <x:v>RO</x:v>
      </x:c>
      <x:c r="I20" s="24" t="str">
        <x:v>enum</x:v>
      </x:c>
      <x:c r="J20" s="24" t="str">
        <x:v>0=Disabled; 1=Enabled</x:v>
      </x:c>
      <x:c r="K20" s="37" t="n">
        <x:v>1</x:v>
      </x:c>
      <x:c r="L20" s="28" t="str">
        <x:v>CFG-1 P14</x:v>
      </x:c>
      <x:c r="M20" s="28" t="str">
        <x:v>Not required</x:v>
      </x:c>
      <x:c r="N20" s="24" t="str">
        <x:v>Software point</x:v>
      </x:c>
    </x:row>
    <x:row r="21" ht="42" customHeight="1">
      <x:c r="A21" s="27" t="str">
        <x:v>Baseline:P15</x:v>
      </x:c>
      <x:c r="B21" s="27" t="str">
        <x:v>P15</x:v>
      </x:c>
      <x:c r="C21" s="21" t="str">
        <x:v>Baseline</x:v>
      </x:c>
      <x:c r="D21" s="27" t="str">
        <x:v>AHU02.FREEZE_ACTIVE</x:v>
      </x:c>
      <x:c r="E21" s="21" t="str">
        <x:v>Yes</x:v>
      </x:c>
      <x:c r="F21" s="27" t="str">
        <x:v>AHU02.FREEZE_ACTIVE</x:v>
      </x:c>
      <x:c r="G21" s="21" t="str">
        <x:v>AHU main graphic</x:v>
      </x:c>
      <x:c r="H21" s="21" t="str">
        <x:v>RO</x:v>
      </x:c>
      <x:c r="I21" s="21" t="str">
        <x:v>enum</x:v>
      </x:c>
      <x:c r="J21" s="21" t="str">
        <x:v>0=Standby; 1=Active</x:v>
      </x:c>
      <x:c r="K21" s="21" t="str">
        <x:v>Not supplied</x:v>
      </x:c>
      <x:c r="L21" s="27" t="str">
        <x:v>CFG-1 P15</x:v>
      </x:c>
      <x:c r="M21" s="27" t="str">
        <x:v>Not required</x:v>
      </x:c>
      <x:c r="N21" s="21" t="str">
        <x:v>Software point</x:v>
      </x:c>
    </x:row>
    <x:row r="22" ht="42" customHeight="1">
      <x:c r="A22" s="28" t="str">
        <x:v>Baseline:P16</x:v>
      </x:c>
      <x:c r="B22" s="28" t="str">
        <x:v>P16</x:v>
      </x:c>
      <x:c r="C22" s="24" t="str">
        <x:v>Baseline</x:v>
      </x:c>
      <x:c r="D22" s="28" t="str">
        <x:v>AHU02.HC_MODE</x:v>
      </x:c>
      <x:c r="E22" s="24" t="str">
        <x:v>Yes</x:v>
      </x:c>
      <x:c r="F22" s="28" t="str">
        <x:v>AHU02.HC_MODE</x:v>
      </x:c>
      <x:c r="G22" s="24" t="str">
        <x:v>AHU main graphic</x:v>
      </x:c>
      <x:c r="H22" s="24" t="str">
        <x:v>RO</x:v>
      </x:c>
      <x:c r="I22" s="24" t="str">
        <x:v>enum</x:v>
      </x:c>
      <x:c r="J22" s="24" t="str">
        <x:v>0=Neutral; 1=Cooling; 2=Heating</x:v>
      </x:c>
      <x:c r="K22" s="24" t="str">
        <x:v>Not supplied</x:v>
      </x:c>
      <x:c r="L22" s="28" t="str">
        <x:v>CFG-1 P16</x:v>
      </x:c>
      <x:c r="M22" s="28" t="str">
        <x:v>Not required</x:v>
      </x:c>
      <x:c r="N22" s="24" t="str">
        <x:v>Software point</x:v>
      </x:c>
    </x:row>
    <x:row r="23" ht="42" customHeight="1">
      <x:c r="A23" s="27" t="str">
        <x:v>Baseline:P17</x:v>
      </x:c>
      <x:c r="B23" s="27" t="str">
        <x:v>P17</x:v>
      </x:c>
      <x:c r="C23" s="21" t="str">
        <x:v>Baseline</x:v>
      </x:c>
      <x:c r="D23" s="27" t="str">
        <x:v>AHU02.RAT</x:v>
      </x:c>
      <x:c r="E23" s="21" t="str">
        <x:v>Yes</x:v>
      </x:c>
      <x:c r="F23" s="27" t="str">
        <x:v>AHU02.RAT</x:v>
      </x:c>
      <x:c r="G23" s="21" t="str">
        <x:v>AHU main graphic</x:v>
      </x:c>
      <x:c r="H23" s="21" t="str">
        <x:v>RO</x:v>
      </x:c>
      <x:c r="I23" s="21" t="str">
        <x:v>°C</x:v>
      </x:c>
      <x:c r="J23" s="21" t="str">
        <x:v>n/a</x:v>
      </x:c>
      <x:c r="K23" s="21" t="str">
        <x:v>Not supplied</x:v>
      </x:c>
      <x:c r="L23" s="27" t="str">
        <x:v>CFG-1 P17</x:v>
      </x:c>
      <x:c r="M23" s="27" t="str">
        <x:v>Not required</x:v>
      </x:c>
      <x:c r="N23" s="21" t="str">
        <x:v>AI</x:v>
      </x:c>
    </x:row>
    <x:row r="24" ht="42" customHeight="1">
      <x:c r="A24" s="28" t="str">
        <x:v>Baseline:P18</x:v>
      </x:c>
      <x:c r="B24" s="28" t="str">
        <x:v>P18</x:v>
      </x:c>
      <x:c r="C24" s="24" t="str">
        <x:v>Baseline</x:v>
      </x:c>
      <x:c r="D24" s="28" t="str">
        <x:v>AHU02.OA_DMP_CMD</x:v>
      </x:c>
      <x:c r="E24" s="24" t="str">
        <x:v>Yes</x:v>
      </x:c>
      <x:c r="F24" s="28" t="str">
        <x:v>AHU02.OA_DMP_CMD</x:v>
      </x:c>
      <x:c r="G24" s="24" t="str">
        <x:v>AHU main graphic</x:v>
      </x:c>
      <x:c r="H24" s="24" t="str">
        <x:v>RO</x:v>
      </x:c>
      <x:c r="I24" s="24" t="str">
        <x:v>%</x:v>
      </x:c>
      <x:c r="J24" s="24" t="str">
        <x:v>n/a</x:v>
      </x:c>
      <x:c r="K24" s="24" t="str">
        <x:v>Not supplied</x:v>
      </x:c>
      <x:c r="L24" s="28" t="str">
        <x:v>CFG-1 P18</x:v>
      </x:c>
      <x:c r="M24" s="28" t="str">
        <x:v>Not required</x:v>
      </x:c>
      <x:c r="N24" s="24" t="str">
        <x:v>AO</x:v>
      </x:c>
    </x:row>
    <x:row r="25" ht="42" customHeight="1">
      <x:c r="A25" s="27" t="str">
        <x:v>Baseline:P19</x:v>
      </x:c>
      <x:c r="B25" s="27" t="str">
        <x:v>P19</x:v>
      </x:c>
      <x:c r="C25" s="21" t="str">
        <x:v>Baseline</x:v>
      </x:c>
      <x:c r="D25" s="27" t="str">
        <x:v>AHU02.EA_DMP_CMD</x:v>
      </x:c>
      <x:c r="E25" s="21" t="str">
        <x:v>Yes</x:v>
      </x:c>
      <x:c r="F25" s="27" t="str">
        <x:v>AHU02.EA_DMP_CMD</x:v>
      </x:c>
      <x:c r="G25" s="21" t="str">
        <x:v>AHU main graphic</x:v>
      </x:c>
      <x:c r="H25" s="21" t="str">
        <x:v>RO</x:v>
      </x:c>
      <x:c r="I25" s="21" t="str">
        <x:v>%</x:v>
      </x:c>
      <x:c r="J25" s="21" t="str">
        <x:v>n/a</x:v>
      </x:c>
      <x:c r="K25" s="21" t="str">
        <x:v>Not supplied</x:v>
      </x:c>
      <x:c r="L25" s="27" t="str">
        <x:v>CFG-1 P19</x:v>
      </x:c>
      <x:c r="M25" s="27" t="str">
        <x:v>Not required</x:v>
      </x:c>
      <x:c r="N25" s="21" t="str">
        <x:v>AO</x:v>
      </x:c>
    </x:row>
    <x:row r="26" ht="42" customHeight="1">
      <x:c r="A26" s="28" t="str">
        <x:v>Baseline:P20</x:v>
      </x:c>
      <x:c r="B26" s="28" t="str">
        <x:v>P20</x:v>
      </x:c>
      <x:c r="C26" s="24" t="str">
        <x:v>Baseline</x:v>
      </x:c>
      <x:c r="D26" s="28" t="str">
        <x:v>AHU02.RA_DMP_CMD</x:v>
      </x:c>
      <x:c r="E26" s="24" t="str">
        <x:v>Yes</x:v>
      </x:c>
      <x:c r="F26" s="28" t="str">
        <x:v>AHU02.RA_DMP_CMD</x:v>
      </x:c>
      <x:c r="G26" s="24" t="str">
        <x:v>AHU main graphic</x:v>
      </x:c>
      <x:c r="H26" s="24" t="str">
        <x:v>RO</x:v>
      </x:c>
      <x:c r="I26" s="24" t="str">
        <x:v>%</x:v>
      </x:c>
      <x:c r="J26" s="24" t="str">
        <x:v>n/a</x:v>
      </x:c>
      <x:c r="K26" s="24" t="str">
        <x:v>Not supplied</x:v>
      </x:c>
      <x:c r="L26" s="28" t="str">
        <x:v>CFG-1 P20</x:v>
      </x:c>
      <x:c r="M26" s="28" t="str">
        <x:v>Not required</x:v>
      </x:c>
      <x:c r="N26" s="24" t="str">
        <x:v>AO</x:v>
      </x:c>
    </x:row>
    <x:row r="27" ht="42" customHeight="1">
      <x:c r="A27" s="27" t="str">
        <x:v>Baseline:P21</x:v>
      </x:c>
      <x:c r="B27" s="27" t="str">
        <x:v>P21</x:v>
      </x:c>
      <x:c r="C27" s="21" t="str">
        <x:v>Baseline</x:v>
      </x:c>
      <x:c r="D27" s="27" t="str">
        <x:v>AHU02.MODE</x:v>
      </x:c>
      <x:c r="E27" s="21" t="str">
        <x:v>Yes</x:v>
      </x:c>
      <x:c r="F27" s="27" t="str">
        <x:v>AHU02.MODE</x:v>
      </x:c>
      <x:c r="G27" s="21" t="str">
        <x:v>AHU main graphic</x:v>
      </x:c>
      <x:c r="H27" s="21" t="str">
        <x:v>RW</x:v>
      </x:c>
      <x:c r="I27" s="21" t="str">
        <x:v>enum</x:v>
      </x:c>
      <x:c r="J27" s="21" t="str">
        <x:v>0=Off; 1=Auto; 2=Manual</x:v>
      </x:c>
      <x:c r="K27" s="21" t="str">
        <x:v>Not supplied</x:v>
      </x:c>
      <x:c r="L27" s="27" t="str">
        <x:v>CFG-1 P21</x:v>
      </x:c>
      <x:c r="M27" s="27" t="str">
        <x:v>Not required</x:v>
      </x:c>
      <x:c r="N27" s="21" t="str">
        <x:v>Software point</x:v>
      </x:c>
    </x:row>
    <x:row r="28" ht="42" customHeight="1">
      <x:c r="A28" s="28" t="str">
        <x:v>Baseline:P22</x:v>
      </x:c>
      <x:c r="B28" s="28" t="str">
        <x:v>P22</x:v>
      </x:c>
      <x:c r="C28" s="24" t="str">
        <x:v>Baseline</x:v>
      </x:c>
      <x:c r="D28" s="28" t="str">
        <x:v>AHU02.RUN_HOURS</x:v>
      </x:c>
      <x:c r="E28" s="24" t="str">
        <x:v>Yes</x:v>
      </x:c>
      <x:c r="F28" s="28" t="str">
        <x:v>AHU02.RUN_HOURS</x:v>
      </x:c>
      <x:c r="G28" s="24" t="str">
        <x:v>AHU maintenance detail</x:v>
      </x:c>
      <x:c r="H28" s="24" t="str">
        <x:v>RO</x:v>
      </x:c>
      <x:c r="I28" s="24" t="str">
        <x:v>h</x:v>
      </x:c>
      <x:c r="J28" s="24" t="str">
        <x:v>n/a</x:v>
      </x:c>
      <x:c r="K28" s="24" t="str">
        <x:v>Not supplied</x:v>
      </x:c>
      <x:c r="L28" s="28" t="str">
        <x:v>CFG-1 P22</x:v>
      </x:c>
      <x:c r="M28" s="28" t="str">
        <x:v>Not required</x:v>
      </x:c>
      <x:c r="N28" s="24" t="str">
        <x:v>Software point</x:v>
      </x:c>
    </x:row>
    <x:row r="29" ht="42" customHeight="1">
      <x:c r="A29" s="27" t="str">
        <x:v>Baseline:P23</x:v>
      </x:c>
      <x:c r="B29" s="27" t="str">
        <x:v>P23</x:v>
      </x:c>
      <x:c r="C29" s="21" t="str">
        <x:v>Baseline</x:v>
      </x:c>
      <x:c r="D29" s="27" t="str">
        <x:v>AHU02.START_COUNT</x:v>
      </x:c>
      <x:c r="E29" s="21" t="str">
        <x:v>Yes</x:v>
      </x:c>
      <x:c r="F29" s="27" t="str">
        <x:v>AHU02.START_COUNT</x:v>
      </x:c>
      <x:c r="G29" s="21" t="str">
        <x:v>AHU maintenance detail</x:v>
      </x:c>
      <x:c r="H29" s="21" t="str">
        <x:v>RO</x:v>
      </x:c>
      <x:c r="I29" s="21" t="str">
        <x:v>count</x:v>
      </x:c>
      <x:c r="J29" s="21" t="str">
        <x:v>n/a</x:v>
      </x:c>
      <x:c r="K29" s="21" t="str">
        <x:v>Not supplied</x:v>
      </x:c>
      <x:c r="L29" s="27" t="str">
        <x:v>CFG-1 P23</x:v>
      </x:c>
      <x:c r="M29" s="27" t="str">
        <x:v>Not required</x:v>
      </x:c>
      <x:c r="N29" s="21" t="str">
        <x:v>Software point</x:v>
      </x:c>
    </x:row>
    <x:row r="30" ht="42" customHeight="1">
      <x:c r="A30" s="28" t="str">
        <x:v>Baseline:P24</x:v>
      </x:c>
      <x:c r="B30" s="28" t="str">
        <x:v>P24</x:v>
      </x:c>
      <x:c r="C30" s="24" t="str">
        <x:v>Baseline</x:v>
      </x:c>
      <x:c r="D30" s="28" t="str">
        <x:v>AHU02.RAH</x:v>
      </x:c>
      <x:c r="E30" s="24" t="str">
        <x:v>Yes</x:v>
      </x:c>
      <x:c r="F30" s="28" t="str">
        <x:v>AHU02.RAH</x:v>
      </x:c>
      <x:c r="G30" s="24" t="str">
        <x:v>AHU main graphic</x:v>
      </x:c>
      <x:c r="H30" s="24" t="str">
        <x:v>RO</x:v>
      </x:c>
      <x:c r="I30" s="24" t="str">
        <x:v>%RH</x:v>
      </x:c>
      <x:c r="J30" s="24" t="str">
        <x:v>n/a</x:v>
      </x:c>
      <x:c r="K30" s="24" t="str">
        <x:v>Not supplied</x:v>
      </x:c>
      <x:c r="L30" s="28" t="str">
        <x:v>CFG-1 P24</x:v>
      </x:c>
      <x:c r="M30" s="28" t="str">
        <x:v>Not required</x:v>
      </x:c>
      <x:c r="N30" s="24" t="str">
        <x:v>AI</x:v>
      </x:c>
    </x:row>
    <x:row r="31" ht="42" customHeight="1">
      <x:c r="A31" s="27" t="str">
        <x:v>Baseline:P25</x:v>
      </x:c>
      <x:c r="B31" s="27" t="str">
        <x:v>P25</x:v>
      </x:c>
      <x:c r="C31" s="21" t="str">
        <x:v>Baseline</x:v>
      </x:c>
      <x:c r="D31" s="27" t="str">
        <x:v>AHU02.RAH_SP</x:v>
      </x:c>
      <x:c r="E31" s="21" t="str">
        <x:v>Yes</x:v>
      </x:c>
      <x:c r="F31" s="27" t="str">
        <x:v>AHU02.RAH_SP</x:v>
      </x:c>
      <x:c r="G31" s="21" t="str">
        <x:v>AHU main graphic</x:v>
      </x:c>
      <x:c r="H31" s="21" t="str">
        <x:v>RW</x:v>
      </x:c>
      <x:c r="I31" s="21" t="str">
        <x:v>%RH</x:v>
      </x:c>
      <x:c r="J31" s="21" t="str">
        <x:v>n/a</x:v>
      </x:c>
      <x:c r="K31" s="21" t="str">
        <x:v>Not supplied</x:v>
      </x:c>
      <x:c r="L31" s="27" t="str">
        <x:v>CFG-1 P25</x:v>
      </x:c>
      <x:c r="M31" s="27" t="str">
        <x:v>Not required</x:v>
      </x:c>
      <x:c r="N31" s="21" t="str">
        <x:v>Software point</x:v>
      </x:c>
    </x:row>
    <x:row r="32" ht="42" customHeight="1">
      <x:c r="A32" s="28" t="str">
        <x:v>Baseline:P26</x:v>
      </x:c>
      <x:c r="B32" s="28" t="str">
        <x:v>P26</x:v>
      </x:c>
      <x:c r="C32" s="24" t="str">
        <x:v>Baseline</x:v>
      </x:c>
      <x:c r="D32" s="28" t="str">
        <x:v>AHU02.HUM_CMD</x:v>
      </x:c>
      <x:c r="E32" s="24" t="str">
        <x:v>Yes</x:v>
      </x:c>
      <x:c r="F32" s="28" t="str">
        <x:v>AHU02.HUM_CMD</x:v>
      </x:c>
      <x:c r="G32" s="24" t="str">
        <x:v>AHU main graphic</x:v>
      </x:c>
      <x:c r="H32" s="24" t="str">
        <x:v>RO</x:v>
      </x:c>
      <x:c r="I32" s="24" t="str">
        <x:v>enum</x:v>
      </x:c>
      <x:c r="J32" s="24" t="str">
        <x:v>0=OFF; 1=ON</x:v>
      </x:c>
      <x:c r="K32" s="24" t="str">
        <x:v>Not supplied</x:v>
      </x:c>
      <x:c r="L32" s="28" t="str">
        <x:v>CFG-1 P26</x:v>
      </x:c>
      <x:c r="M32" s="28" t="str">
        <x:v>Not required</x:v>
      </x:c>
      <x:c r="N32" s="24" t="str">
        <x:v>DO</x:v>
      </x:c>
    </x:row>
    <x:row r="33" ht="42" customHeight="1">
      <x:c r="A33" s="27" t="str">
        <x:v>Baseline:P27</x:v>
      </x:c>
      <x:c r="B33" s="27" t="str">
        <x:v>P27</x:v>
      </x:c>
      <x:c r="C33" s="21" t="str">
        <x:v>Baseline</x:v>
      </x:c>
      <x:c r="D33" s="27" t="str">
        <x:v>AHU02.HUM_ENABLE_CMD</x:v>
      </x:c>
      <x:c r="E33" s="21" t="str">
        <x:v>Yes</x:v>
      </x:c>
      <x:c r="F33" s="27" t="str">
        <x:v>AHU02.HUM_ENABLE_CMD</x:v>
      </x:c>
      <x:c r="G33" s="21" t="str">
        <x:v>AHU main graphic</x:v>
      </x:c>
      <x:c r="H33" s="21" t="str">
        <x:v>RW</x:v>
      </x:c>
      <x:c r="I33" s="21" t="str">
        <x:v>enum</x:v>
      </x:c>
      <x:c r="J33" s="21" t="str">
        <x:v>0=Disabled; 1=Enabled</x:v>
      </x:c>
      <x:c r="K33" s="21" t="str">
        <x:v>Not supplied</x:v>
      </x:c>
      <x:c r="L33" s="27" t="str">
        <x:v>CFG-1 P27</x:v>
      </x:c>
      <x:c r="M33" s="27" t="str">
        <x:v>Not required</x:v>
      </x:c>
      <x:c r="N33" s="21" t="str">
        <x:v>Software point</x:v>
      </x:c>
    </x:row>
    <x:row r="34" ht="42" customHeight="1">
      <x:c r="A34" s="28" t="str">
        <x:v>Baseline:P28</x:v>
      </x:c>
      <x:c r="B34" s="28" t="str">
        <x:v>P28</x:v>
      </x:c>
      <x:c r="C34" s="24" t="str">
        <x:v>Baseline</x:v>
      </x:c>
      <x:c r="D34" s="28" t="str">
        <x:v>AHU02.HUM_RUN</x:v>
      </x:c>
      <x:c r="E34" s="24" t="str">
        <x:v>Yes</x:v>
      </x:c>
      <x:c r="F34" s="28" t="str">
        <x:v>AHU02.HUM_RUN</x:v>
      </x:c>
      <x:c r="G34" s="24" t="str">
        <x:v>AHU main graphic</x:v>
      </x:c>
      <x:c r="H34" s="24" t="str">
        <x:v>RO</x:v>
      </x:c>
      <x:c r="I34" s="24" t="str">
        <x:v>enum</x:v>
      </x:c>
      <x:c r="J34" s="24" t="str">
        <x:v>0=Stopped; 1=Running</x:v>
      </x:c>
      <x:c r="K34" s="24" t="str">
        <x:v>Not supplied</x:v>
      </x:c>
      <x:c r="L34" s="28" t="str">
        <x:v>CFG-1 P28</x:v>
      </x:c>
      <x:c r="M34" s="28" t="str">
        <x:v>Not required</x:v>
      </x:c>
      <x:c r="N34" s="24" t="str">
        <x:v>DI</x:v>
      </x:c>
    </x:row>
    <x:row r="35" ht="42" customHeight="1">
      <x:c r="A35" s="27" t="str">
        <x:v>Recheck:P01</x:v>
      </x:c>
      <x:c r="B35" s="27" t="str">
        <x:v>P01</x:v>
      </x:c>
      <x:c r="C35" s="21" t="str">
        <x:v>Recheck</x:v>
      </x:c>
      <x:c r="D35" s="27" t="str">
        <x:v>AHU02.AHU_CMD</x:v>
      </x:c>
      <x:c r="E35" s="21" t="str">
        <x:v>Yes</x:v>
      </x:c>
      <x:c r="F35" s="27" t="str">
        <x:v>AHU02.AHU_CMD</x:v>
      </x:c>
      <x:c r="G35" s="21" t="str">
        <x:v>AHU main graphic</x:v>
      </x:c>
      <x:c r="H35" s="21" t="str">
        <x:v>RW</x:v>
      </x:c>
      <x:c r="I35" s="21" t="str">
        <x:v>enum</x:v>
      </x:c>
      <x:c r="J35" s="21" t="str">
        <x:v>0=Stop; 1=Start</x:v>
      </x:c>
      <x:c r="K35" s="21" t="str">
        <x:v>Not supplied</x:v>
      </x:c>
      <x:c r="L35" s="27" t="str">
        <x:v>CFG-2 P01</x:v>
      </x:c>
      <x:c r="M35" s="27" t="str">
        <x:v>Not required</x:v>
      </x:c>
      <x:c r="N35" s="21" t="str">
        <x:v>DO</x:v>
      </x:c>
    </x:row>
    <x:row r="36" ht="42" customHeight="1">
      <x:c r="A36" s="28" t="str">
        <x:v>Recheck:P02</x:v>
      </x:c>
      <x:c r="B36" s="28" t="str">
        <x:v>P02</x:v>
      </x:c>
      <x:c r="C36" s="24" t="str">
        <x:v>Recheck</x:v>
      </x:c>
      <x:c r="D36" s="28" t="str">
        <x:v>AHU02.RUN</x:v>
      </x:c>
      <x:c r="E36" s="24" t="str">
        <x:v>Yes</x:v>
      </x:c>
      <x:c r="F36" s="28" t="str">
        <x:v>AHU02.RUN</x:v>
      </x:c>
      <x:c r="G36" s="24" t="str">
        <x:v>AHU main graphic</x:v>
      </x:c>
      <x:c r="H36" s="24" t="str">
        <x:v>RO</x:v>
      </x:c>
      <x:c r="I36" s="24" t="str">
        <x:v>enum</x:v>
      </x:c>
      <x:c r="J36" s="24" t="str">
        <x:v>0=Stopped; 1=Running</x:v>
      </x:c>
      <x:c r="K36" s="24" t="str">
        <x:v>Not supplied</x:v>
      </x:c>
      <x:c r="L36" s="28" t="str">
        <x:v>CFG-2 P02</x:v>
      </x:c>
      <x:c r="M36" s="28" t="str">
        <x:v>Not required</x:v>
      </x:c>
      <x:c r="N36" s="24" t="str">
        <x:v>DI</x:v>
      </x:c>
    </x:row>
    <x:row r="37" ht="42" customHeight="1">
      <x:c r="A37" s="27" t="str">
        <x:v>Recheck:P03</x:v>
      </x:c>
      <x:c r="B37" s="27" t="str">
        <x:v>P03</x:v>
      </x:c>
      <x:c r="C37" s="21" t="str">
        <x:v>Recheck</x:v>
      </x:c>
      <x:c r="D37" s="27" t="str">
        <x:v>AHU02.FAN_FAULT</x:v>
      </x:c>
      <x:c r="E37" s="21" t="str">
        <x:v>Yes</x:v>
      </x:c>
      <x:c r="F37" s="27" t="str">
        <x:v>AHU02.FAN_FAULT</x:v>
      </x:c>
      <x:c r="G37" s="21" t="str">
        <x:v>AHU main graphic</x:v>
      </x:c>
      <x:c r="H37" s="21" t="str">
        <x:v>RO</x:v>
      </x:c>
      <x:c r="I37" s="21" t="str">
        <x:v>enum</x:v>
      </x:c>
      <x:c r="J37" s="21" t="str">
        <x:v>0=Normal; 1=Alarm</x:v>
      </x:c>
      <x:c r="K37" s="21" t="str">
        <x:v>Not supplied</x:v>
      </x:c>
      <x:c r="L37" s="27" t="str">
        <x:v>CFG-2 P03</x:v>
      </x:c>
      <x:c r="M37" s="27" t="str">
        <x:v>Not required</x:v>
      </x:c>
      <x:c r="N37" s="21" t="str">
        <x:v>DI</x:v>
      </x:c>
    </x:row>
    <x:row r="38" ht="42" customHeight="1">
      <x:c r="A38" s="28" t="str">
        <x:v>Recheck:P04</x:v>
      </x:c>
      <x:c r="B38" s="28" t="str">
        <x:v>P04</x:v>
      </x:c>
      <x:c r="C38" s="24" t="str">
        <x:v>Recheck</x:v>
      </x:c>
      <x:c r="D38" s="28" t="str">
        <x:v>AHU02.RF_RUN</x:v>
      </x:c>
      <x:c r="E38" s="24" t="str">
        <x:v>Yes</x:v>
      </x:c>
      <x:c r="F38" s="28" t="str">
        <x:v>AHU02.RF_RUN</x:v>
      </x:c>
      <x:c r="G38" s="24" t="str">
        <x:v>AHU main graphic</x:v>
      </x:c>
      <x:c r="H38" s="24" t="str">
        <x:v>RO</x:v>
      </x:c>
      <x:c r="I38" s="24" t="str">
        <x:v>enum</x:v>
      </x:c>
      <x:c r="J38" s="24" t="str">
        <x:v>0=Stopped; 1=Running</x:v>
      </x:c>
      <x:c r="K38" s="24" t="str">
        <x:v>Not supplied</x:v>
      </x:c>
      <x:c r="L38" s="28" t="str">
        <x:v>CFG-2 P04</x:v>
      </x:c>
      <x:c r="M38" s="28" t="str">
        <x:v>Not required</x:v>
      </x:c>
      <x:c r="N38" s="24" t="str">
        <x:v>DI</x:v>
      </x:c>
    </x:row>
    <x:row r="39" ht="42" customHeight="1">
      <x:c r="A39" s="27" t="str">
        <x:v>Recheck:P05</x:v>
      </x:c>
      <x:c r="B39" s="27" t="str">
        <x:v>P05</x:v>
      </x:c>
      <x:c r="C39" s="21" t="str">
        <x:v>Recheck</x:v>
      </x:c>
      <x:c r="D39" s="27" t="str">
        <x:v>AHU02.RF_FAULT</x:v>
      </x:c>
      <x:c r="E39" s="21" t="str">
        <x:v>Yes</x:v>
      </x:c>
      <x:c r="F39" s="27" t="str">
        <x:v>AHU02.RF_FAULT</x:v>
      </x:c>
      <x:c r="G39" s="21" t="str">
        <x:v>AHU main graphic</x:v>
      </x:c>
      <x:c r="H39" s="21" t="str">
        <x:v>RO</x:v>
      </x:c>
      <x:c r="I39" s="21" t="str">
        <x:v>enum</x:v>
      </x:c>
      <x:c r="J39" s="21" t="str">
        <x:v>0=Normal; 1=Alarm</x:v>
      </x:c>
      <x:c r="K39" s="21" t="str">
        <x:v>Not supplied</x:v>
      </x:c>
      <x:c r="L39" s="27" t="str">
        <x:v>CFG-2 P05</x:v>
      </x:c>
      <x:c r="M39" s="27" t="str">
        <x:v>Not required</x:v>
      </x:c>
      <x:c r="N39" s="21" t="str">
        <x:v>DI</x:v>
      </x:c>
    </x:row>
    <x:row r="40" ht="42" customHeight="1">
      <x:c r="A40" s="28" t="str">
        <x:v>Recheck:P06</x:v>
      </x:c>
      <x:c r="B40" s="28" t="str">
        <x:v>P06</x:v>
      </x:c>
      <x:c r="C40" s="24" t="str">
        <x:v>Recheck</x:v>
      </x:c>
      <x:c r="D40" s="28" t="str">
        <x:v>AHU02.SAT</x:v>
      </x:c>
      <x:c r="E40" s="24" t="str">
        <x:v>Yes</x:v>
      </x:c>
      <x:c r="F40" s="28" t="str">
        <x:v>AHU02.SAT</x:v>
      </x:c>
      <x:c r="G40" s="24" t="str">
        <x:v>AHU main graphic</x:v>
      </x:c>
      <x:c r="H40" s="24" t="str">
        <x:v>RO</x:v>
      </x:c>
      <x:c r="I40" s="24" t="str">
        <x:v>°C</x:v>
      </x:c>
      <x:c r="J40" s="24" t="str">
        <x:v>n/a</x:v>
      </x:c>
      <x:c r="K40" s="24" t="str">
        <x:v>Not supplied</x:v>
      </x:c>
      <x:c r="L40" s="28" t="str">
        <x:v>CFG-2 P06</x:v>
      </x:c>
      <x:c r="M40" s="28" t="str">
        <x:v>AHU02.SAT</x:v>
      </x:c>
      <x:c r="N40" s="24" t="str">
        <x:v>AI</x:v>
      </x:c>
    </x:row>
    <x:row r="41" ht="42" customHeight="1">
      <x:c r="A41" s="27" t="str">
        <x:v>Recheck:P07</x:v>
      </x:c>
      <x:c r="B41" s="27" t="str">
        <x:v>P07</x:v>
      </x:c>
      <x:c r="C41" s="21" t="str">
        <x:v>Recheck</x:v>
      </x:c>
      <x:c r="D41" s="27" t="str">
        <x:v>AHU02.SAT_SP</x:v>
      </x:c>
      <x:c r="E41" s="21" t="str">
        <x:v>Yes</x:v>
      </x:c>
      <x:c r="F41" s="27" t="str">
        <x:v>AHU02.SAT_SP</x:v>
      </x:c>
      <x:c r="G41" s="21" t="str">
        <x:v>AHU main graphic</x:v>
      </x:c>
      <x:c r="H41" s="21" t="str">
        <x:v>RW</x:v>
      </x:c>
      <x:c r="I41" s="21" t="str">
        <x:v>°C</x:v>
      </x:c>
      <x:c r="J41" s="21" t="str">
        <x:v>n/a</x:v>
      </x:c>
      <x:c r="K41" s="36" t="n">
        <x:v>22</x:v>
      </x:c>
      <x:c r="L41" s="27" t="str">
        <x:v>CFG-2 P07</x:v>
      </x:c>
      <x:c r="M41" s="27" t="str">
        <x:v>Not required</x:v>
      </x:c>
      <x:c r="N41" s="21" t="str">
        <x:v>Software point</x:v>
      </x:c>
    </x:row>
    <x:row r="42" ht="42" customHeight="1">
      <x:c r="A42" s="28" t="str">
        <x:v>Recheck:P08</x:v>
      </x:c>
      <x:c r="B42" s="28" t="str">
        <x:v>P08</x:v>
      </x:c>
      <x:c r="C42" s="24" t="str">
        <x:v>Recheck</x:v>
      </x:c>
      <x:c r="D42" s="28" t="str">
        <x:v>AHU02.CHW_HW_VLV_CMD</x:v>
      </x:c>
      <x:c r="E42" s="24" t="str">
        <x:v>Yes</x:v>
      </x:c>
      <x:c r="F42" s="28" t="str">
        <x:v>AHU02.CHW_HW_VLV_CMD</x:v>
      </x:c>
      <x:c r="G42" s="24" t="str">
        <x:v>AHU main graphic</x:v>
      </x:c>
      <x:c r="H42" s="24" t="str">
        <x:v>RO</x:v>
      </x:c>
      <x:c r="I42" s="24" t="str">
        <x:v>%</x:v>
      </x:c>
      <x:c r="J42" s="24" t="str">
        <x:v>n/a</x:v>
      </x:c>
      <x:c r="K42" s="24" t="str">
        <x:v>Not supplied</x:v>
      </x:c>
      <x:c r="L42" s="28" t="str">
        <x:v>CFG-2 P08</x:v>
      </x:c>
      <x:c r="M42" s="28" t="str">
        <x:v>Not required</x:v>
      </x:c>
      <x:c r="N42" s="24" t="str">
        <x:v>AO</x:v>
      </x:c>
    </x:row>
    <x:row r="43" ht="42" customHeight="1">
      <x:c r="A43" s="27" t="str">
        <x:v>Recheck:P09</x:v>
      </x:c>
      <x:c r="B43" s="27" t="str">
        <x:v>P09</x:v>
      </x:c>
      <x:c r="C43" s="21" t="str">
        <x:v>Recheck</x:v>
      </x:c>
      <x:c r="D43" s="27" t="str">
        <x:v>AHU02.FILTER_DP_ALM</x:v>
      </x:c>
      <x:c r="E43" s="21" t="str">
        <x:v>Yes</x:v>
      </x:c>
      <x:c r="F43" s="27" t="str">
        <x:v>AHU02.FILTER_DP_ALM</x:v>
      </x:c>
      <x:c r="G43" s="21" t="str">
        <x:v>AHU main graphic</x:v>
      </x:c>
      <x:c r="H43" s="21" t="str">
        <x:v>RO</x:v>
      </x:c>
      <x:c r="I43" s="21" t="str">
        <x:v>enum</x:v>
      </x:c>
      <x:c r="J43" s="21" t="str">
        <x:v>0=Normal; 1=Alarm</x:v>
      </x:c>
      <x:c r="K43" s="21" t="str">
        <x:v>Not supplied</x:v>
      </x:c>
      <x:c r="L43" s="27" t="str">
        <x:v>CFG-2 P09</x:v>
      </x:c>
      <x:c r="M43" s="27" t="str">
        <x:v>Not required</x:v>
      </x:c>
      <x:c r="N43" s="21" t="str">
        <x:v>DI</x:v>
      </x:c>
    </x:row>
    <x:row r="44" ht="42" customHeight="1">
      <x:c r="A44" s="28" t="str">
        <x:v>Recheck:P10</x:v>
      </x:c>
      <x:c r="B44" s="28" t="str">
        <x:v>P10</x:v>
      </x:c>
      <x:c r="C44" s="24" t="str">
        <x:v>Recheck</x:v>
      </x:c>
      <x:c r="D44" s="28" t="str">
        <x:v>SITE.OAT</x:v>
      </x:c>
      <x:c r="E44" s="24" t="str">
        <x:v>Yes</x:v>
      </x:c>
      <x:c r="F44" s="28" t="str">
        <x:v>SITE.OAT</x:v>
      </x:c>
      <x:c r="G44" s="24" t="str">
        <x:v>AHU main graphic</x:v>
      </x:c>
      <x:c r="H44" s="24" t="str">
        <x:v>RO</x:v>
      </x:c>
      <x:c r="I44" s="24" t="str">
        <x:v>°C</x:v>
      </x:c>
      <x:c r="J44" s="24" t="str">
        <x:v>n/a</x:v>
      </x:c>
      <x:c r="K44" s="24" t="str">
        <x:v>Not supplied</x:v>
      </x:c>
      <x:c r="L44" s="28" t="str">
        <x:v>CFG-2 P10</x:v>
      </x:c>
      <x:c r="M44" s="28" t="str">
        <x:v>Not required</x:v>
      </x:c>
      <x:c r="N44" s="24" t="str">
        <x:v>AI / shared</x:v>
      </x:c>
    </x:row>
    <x:row r="45" ht="42" customHeight="1">
      <x:c r="A45" s="27" t="str">
        <x:v>Recheck:P11</x:v>
      </x:c>
      <x:c r="B45" s="27" t="str">
        <x:v>P11</x:v>
      </x:c>
      <x:c r="C45" s="21" t="str">
        <x:v>Recheck</x:v>
      </x:c>
      <x:c r="D45" s="27" t="str">
        <x:v>SITE.OAH</x:v>
      </x:c>
      <x:c r="E45" s="21" t="str">
        <x:v>Yes</x:v>
      </x:c>
      <x:c r="F45" s="27" t="str">
        <x:v>SITE.OAH</x:v>
      </x:c>
      <x:c r="G45" s="21" t="str">
        <x:v>AHU main graphic</x:v>
      </x:c>
      <x:c r="H45" s="21" t="str">
        <x:v>RO</x:v>
      </x:c>
      <x:c r="I45" s="21" t="str">
        <x:v>%RH</x:v>
      </x:c>
      <x:c r="J45" s="21" t="str">
        <x:v>n/a</x:v>
      </x:c>
      <x:c r="K45" s="21" t="str">
        <x:v>Not supplied</x:v>
      </x:c>
      <x:c r="L45" s="27" t="str">
        <x:v>CFG-2 P11</x:v>
      </x:c>
      <x:c r="M45" s="27" t="str">
        <x:v>Not required</x:v>
      </x:c>
      <x:c r="N45" s="21" t="str">
        <x:v>AI / shared</x:v>
      </x:c>
    </x:row>
    <x:row r="46" ht="42" customHeight="1">
      <x:c r="A46" s="28" t="str">
        <x:v>Recheck:P12</x:v>
      </x:c>
      <x:c r="B46" s="28" t="str">
        <x:v>P12</x:v>
      </x:c>
      <x:c r="C46" s="24" t="str">
        <x:v>Recheck</x:v>
      </x:c>
      <x:c r="D46" s="28" t="str">
        <x:v>AHU02.ECON_ENABLE_STS</x:v>
      </x:c>
      <x:c r="E46" s="24" t="str">
        <x:v>Yes</x:v>
      </x:c>
      <x:c r="F46" s="28" t="str">
        <x:v>AHU02.ECON_ENABLE_STS</x:v>
      </x:c>
      <x:c r="G46" s="24" t="str">
        <x:v>AHU main graphic</x:v>
      </x:c>
      <x:c r="H46" s="24" t="str">
        <x:v>RO</x:v>
      </x:c>
      <x:c r="I46" s="24" t="str">
        <x:v>enum</x:v>
      </x:c>
      <x:c r="J46" s="24" t="str">
        <x:v>0=Disabled; 1=Enabled</x:v>
      </x:c>
      <x:c r="K46" s="24" t="str">
        <x:v>Not supplied</x:v>
      </x:c>
      <x:c r="L46" s="28" t="str">
        <x:v>CFG-2 P12</x:v>
      </x:c>
      <x:c r="M46" s="28" t="str">
        <x:v>Not required</x:v>
      </x:c>
      <x:c r="N46" s="24" t="str">
        <x:v>Software point</x:v>
      </x:c>
    </x:row>
    <x:row r="47" ht="42" customHeight="1">
      <x:c r="A47" s="27" t="str">
        <x:v>Recheck:P13</x:v>
      </x:c>
      <x:c r="B47" s="27" t="str">
        <x:v>P13</x:v>
      </x:c>
      <x:c r="C47" s="21" t="str">
        <x:v>Recheck</x:v>
      </x:c>
      <x:c r="D47" s="27" t="str">
        <x:v>AHU02.ECON_ACTIVE</x:v>
      </x:c>
      <x:c r="E47" s="21" t="str">
        <x:v>Yes</x:v>
      </x:c>
      <x:c r="F47" s="27" t="str">
        <x:v>AHU02.ECON_ACTIVE</x:v>
      </x:c>
      <x:c r="G47" s="21" t="str">
        <x:v>AHU main graphic</x:v>
      </x:c>
      <x:c r="H47" s="21" t="str">
        <x:v>RO</x:v>
      </x:c>
      <x:c r="I47" s="21" t="str">
        <x:v>enum</x:v>
      </x:c>
      <x:c r="J47" s="21" t="str">
        <x:v>0=Standby; 1=Active</x:v>
      </x:c>
      <x:c r="K47" s="21" t="str">
        <x:v>Not supplied</x:v>
      </x:c>
      <x:c r="L47" s="27" t="str">
        <x:v>CFG-2 P13</x:v>
      </x:c>
      <x:c r="M47" s="27" t="str">
        <x:v>Not required</x:v>
      </x:c>
      <x:c r="N47" s="21" t="str">
        <x:v>Software point</x:v>
      </x:c>
    </x:row>
    <x:row r="48" ht="42" customHeight="1">
      <x:c r="A48" s="28" t="str">
        <x:v>Recheck:P14</x:v>
      </x:c>
      <x:c r="B48" s="28" t="str">
        <x:v>P14</x:v>
      </x:c>
      <x:c r="C48" s="24" t="str">
        <x:v>Recheck</x:v>
      </x:c>
      <x:c r="D48" s="28" t="str">
        <x:v>AHU02.FREEZE_ENABLE_STS</x:v>
      </x:c>
      <x:c r="E48" s="24" t="str">
        <x:v>Yes</x:v>
      </x:c>
      <x:c r="F48" s="28" t="str">
        <x:v>AHU02.FREEZE_ENABLE_STS</x:v>
      </x:c>
      <x:c r="G48" s="24" t="str">
        <x:v>AHU main graphic</x:v>
      </x:c>
      <x:c r="H48" s="24" t="str">
        <x:v>RO</x:v>
      </x:c>
      <x:c r="I48" s="24" t="str">
        <x:v>enum</x:v>
      </x:c>
      <x:c r="J48" s="24" t="str">
        <x:v>0=Disabled; 1=Enabled</x:v>
      </x:c>
      <x:c r="K48" s="37" t="n">
        <x:v>1</x:v>
      </x:c>
      <x:c r="L48" s="28" t="str">
        <x:v>CFG-2 P14</x:v>
      </x:c>
      <x:c r="M48" s="28" t="str">
        <x:v>Not required</x:v>
      </x:c>
      <x:c r="N48" s="24" t="str">
        <x:v>Software point</x:v>
      </x:c>
    </x:row>
    <x:row r="49" ht="42" customHeight="1">
      <x:c r="A49" s="27" t="str">
        <x:v>Recheck:P15</x:v>
      </x:c>
      <x:c r="B49" s="27" t="str">
        <x:v>P15</x:v>
      </x:c>
      <x:c r="C49" s="21" t="str">
        <x:v>Recheck</x:v>
      </x:c>
      <x:c r="D49" s="27" t="str">
        <x:v>AHU02.FREEZE_ACTIVE</x:v>
      </x:c>
      <x:c r="E49" s="21" t="str">
        <x:v>Yes</x:v>
      </x:c>
      <x:c r="F49" s="27" t="str">
        <x:v>AHU02.FREEZE_ACTIVE</x:v>
      </x:c>
      <x:c r="G49" s="21" t="str">
        <x:v>AHU main graphic</x:v>
      </x:c>
      <x:c r="H49" s="21" t="str">
        <x:v>RO</x:v>
      </x:c>
      <x:c r="I49" s="21" t="str">
        <x:v>enum</x:v>
      </x:c>
      <x:c r="J49" s="21" t="str">
        <x:v>0=Standby; 1=Active</x:v>
      </x:c>
      <x:c r="K49" s="21" t="str">
        <x:v>Not supplied</x:v>
      </x:c>
      <x:c r="L49" s="27" t="str">
        <x:v>CFG-2 P15</x:v>
      </x:c>
      <x:c r="M49" s="27" t="str">
        <x:v>Not required</x:v>
      </x:c>
      <x:c r="N49" s="21" t="str">
        <x:v>Software point</x:v>
      </x:c>
    </x:row>
    <x:row r="50" ht="42" customHeight="1">
      <x:c r="A50" s="28" t="str">
        <x:v>Recheck:P16</x:v>
      </x:c>
      <x:c r="B50" s="28" t="str">
        <x:v>P16</x:v>
      </x:c>
      <x:c r="C50" s="24" t="str">
        <x:v>Recheck</x:v>
      </x:c>
      <x:c r="D50" s="28" t="str">
        <x:v>AHU02.HC_MODE</x:v>
      </x:c>
      <x:c r="E50" s="24" t="str">
        <x:v>Yes</x:v>
      </x:c>
      <x:c r="F50" s="28" t="str">
        <x:v>AHU02.HC_MODE</x:v>
      </x:c>
      <x:c r="G50" s="24" t="str">
        <x:v>AHU main graphic</x:v>
      </x:c>
      <x:c r="H50" s="24" t="str">
        <x:v>RO</x:v>
      </x:c>
      <x:c r="I50" s="24" t="str">
        <x:v>enum</x:v>
      </x:c>
      <x:c r="J50" s="24" t="str">
        <x:v>0=Neutral; 1=Cooling; 2=Heating</x:v>
      </x:c>
      <x:c r="K50" s="24" t="str">
        <x:v>Not supplied</x:v>
      </x:c>
      <x:c r="L50" s="28" t="str">
        <x:v>CFG-2 P16</x:v>
      </x:c>
      <x:c r="M50" s="28" t="str">
        <x:v>Not required</x:v>
      </x:c>
      <x:c r="N50" s="24" t="str">
        <x:v>Software point</x:v>
      </x:c>
    </x:row>
    <x:row r="51" ht="42" customHeight="1">
      <x:c r="A51" s="27" t="str">
        <x:v>Recheck:P17</x:v>
      </x:c>
      <x:c r="B51" s="27" t="str">
        <x:v>P17</x:v>
      </x:c>
      <x:c r="C51" s="21" t="str">
        <x:v>Recheck</x:v>
      </x:c>
      <x:c r="D51" s="27" t="str">
        <x:v>AHU02.RAT</x:v>
      </x:c>
      <x:c r="E51" s="21" t="str">
        <x:v>Yes</x:v>
      </x:c>
      <x:c r="F51" s="27" t="str">
        <x:v>AHU02.RAT</x:v>
      </x:c>
      <x:c r="G51" s="21" t="str">
        <x:v>AHU main graphic</x:v>
      </x:c>
      <x:c r="H51" s="21" t="str">
        <x:v>RO</x:v>
      </x:c>
      <x:c r="I51" s="21" t="str">
        <x:v>°C</x:v>
      </x:c>
      <x:c r="J51" s="21" t="str">
        <x:v>n/a</x:v>
      </x:c>
      <x:c r="K51" s="21" t="str">
        <x:v>Not supplied</x:v>
      </x:c>
      <x:c r="L51" s="27" t="str">
        <x:v>CFG-2 P17</x:v>
      </x:c>
      <x:c r="M51" s="27" t="str">
        <x:v>Not required</x:v>
      </x:c>
      <x:c r="N51" s="21" t="str">
        <x:v>AI</x:v>
      </x:c>
    </x:row>
    <x:row r="52" ht="42" customHeight="1">
      <x:c r="A52" s="28" t="str">
        <x:v>Recheck:P18</x:v>
      </x:c>
      <x:c r="B52" s="28" t="str">
        <x:v>P18</x:v>
      </x:c>
      <x:c r="C52" s="24" t="str">
        <x:v>Recheck</x:v>
      </x:c>
      <x:c r="D52" s="28" t="str">
        <x:v>AHU02.OA_DMP_CMD</x:v>
      </x:c>
      <x:c r="E52" s="24" t="str">
        <x:v>Yes</x:v>
      </x:c>
      <x:c r="F52" s="28" t="str">
        <x:v>AHU02.OA_DMP_CMD</x:v>
      </x:c>
      <x:c r="G52" s="24" t="str">
        <x:v>AHU main graphic</x:v>
      </x:c>
      <x:c r="H52" s="24" t="str">
        <x:v>RO</x:v>
      </x:c>
      <x:c r="I52" s="24" t="str">
        <x:v>%</x:v>
      </x:c>
      <x:c r="J52" s="24" t="str">
        <x:v>n/a</x:v>
      </x:c>
      <x:c r="K52" s="24" t="str">
        <x:v>Not supplied</x:v>
      </x:c>
      <x:c r="L52" s="28" t="str">
        <x:v>CFG-2 P18</x:v>
      </x:c>
      <x:c r="M52" s="28" t="str">
        <x:v>Not required</x:v>
      </x:c>
      <x:c r="N52" s="24" t="str">
        <x:v>AO</x:v>
      </x:c>
    </x:row>
    <x:row r="53" ht="42" customHeight="1">
      <x:c r="A53" s="27" t="str">
        <x:v>Recheck:P19</x:v>
      </x:c>
      <x:c r="B53" s="27" t="str">
        <x:v>P19</x:v>
      </x:c>
      <x:c r="C53" s="21" t="str">
        <x:v>Recheck</x:v>
      </x:c>
      <x:c r="D53" s="27" t="str">
        <x:v>AHU02.EA_DMP_CMD</x:v>
      </x:c>
      <x:c r="E53" s="21" t="str">
        <x:v>Yes</x:v>
      </x:c>
      <x:c r="F53" s="27" t="str">
        <x:v>AHU02.EA_DMP_CMD</x:v>
      </x:c>
      <x:c r="G53" s="21" t="str">
        <x:v>AHU main graphic</x:v>
      </x:c>
      <x:c r="H53" s="21" t="str">
        <x:v>RO</x:v>
      </x:c>
      <x:c r="I53" s="21" t="str">
        <x:v>%</x:v>
      </x:c>
      <x:c r="J53" s="21" t="str">
        <x:v>n/a</x:v>
      </x:c>
      <x:c r="K53" s="21" t="str">
        <x:v>Not supplied</x:v>
      </x:c>
      <x:c r="L53" s="27" t="str">
        <x:v>CFG-2 P19</x:v>
      </x:c>
      <x:c r="M53" s="27" t="str">
        <x:v>Not required</x:v>
      </x:c>
      <x:c r="N53" s="21" t="str">
        <x:v>AO</x:v>
      </x:c>
    </x:row>
    <x:row r="54" ht="42" customHeight="1">
      <x:c r="A54" s="28" t="str">
        <x:v>Recheck:P20</x:v>
      </x:c>
      <x:c r="B54" s="28" t="str">
        <x:v>P20</x:v>
      </x:c>
      <x:c r="C54" s="24" t="str">
        <x:v>Recheck</x:v>
      </x:c>
      <x:c r="D54" s="28" t="str">
        <x:v>AHU02.RA_DMP_CMD</x:v>
      </x:c>
      <x:c r="E54" s="24" t="str">
        <x:v>Yes</x:v>
      </x:c>
      <x:c r="F54" s="28" t="str">
        <x:v>AHU02.RA_DMP_CMD</x:v>
      </x:c>
      <x:c r="G54" s="24" t="str">
        <x:v>AHU main graphic</x:v>
      </x:c>
      <x:c r="H54" s="24" t="str">
        <x:v>RO</x:v>
      </x:c>
      <x:c r="I54" s="24" t="str">
        <x:v>%</x:v>
      </x:c>
      <x:c r="J54" s="24" t="str">
        <x:v>n/a</x:v>
      </x:c>
      <x:c r="K54" s="24" t="str">
        <x:v>Not supplied</x:v>
      </x:c>
      <x:c r="L54" s="28" t="str">
        <x:v>CFG-2 P20</x:v>
      </x:c>
      <x:c r="M54" s="28" t="str">
        <x:v>Not required</x:v>
      </x:c>
      <x:c r="N54" s="24" t="str">
        <x:v>AO</x:v>
      </x:c>
    </x:row>
    <x:row r="55" ht="42" customHeight="1">
      <x:c r="A55" s="27" t="str">
        <x:v>Recheck:P21</x:v>
      </x:c>
      <x:c r="B55" s="27" t="str">
        <x:v>P21</x:v>
      </x:c>
      <x:c r="C55" s="21" t="str">
        <x:v>Recheck</x:v>
      </x:c>
      <x:c r="D55" s="27" t="str">
        <x:v>AHU02.MODE</x:v>
      </x:c>
      <x:c r="E55" s="21" t="str">
        <x:v>Yes</x:v>
      </x:c>
      <x:c r="F55" s="27" t="str">
        <x:v>AHU02.MODE</x:v>
      </x:c>
      <x:c r="G55" s="21" t="str">
        <x:v>AHU main graphic</x:v>
      </x:c>
      <x:c r="H55" s="21" t="str">
        <x:v>RW</x:v>
      </x:c>
      <x:c r="I55" s="21" t="str">
        <x:v>enum</x:v>
      </x:c>
      <x:c r="J55" s="21" t="str">
        <x:v>0=Off; 1=Auto; 2=Manual</x:v>
      </x:c>
      <x:c r="K55" s="21" t="str">
        <x:v>Not supplied</x:v>
      </x:c>
      <x:c r="L55" s="27" t="str">
        <x:v>CFG-2 P21</x:v>
      </x:c>
      <x:c r="M55" s="27" t="str">
        <x:v>Not required</x:v>
      </x:c>
      <x:c r="N55" s="21" t="str">
        <x:v>Software point</x:v>
      </x:c>
    </x:row>
    <x:row r="56" ht="42" customHeight="1">
      <x:c r="A56" s="28" t="str">
        <x:v>Recheck:P22</x:v>
      </x:c>
      <x:c r="B56" s="28" t="str">
        <x:v>P22</x:v>
      </x:c>
      <x:c r="C56" s="24" t="str">
        <x:v>Recheck</x:v>
      </x:c>
      <x:c r="D56" s="28" t="str">
        <x:v>AHU02.RUN_HOURS</x:v>
      </x:c>
      <x:c r="E56" s="24" t="str">
        <x:v>Yes</x:v>
      </x:c>
      <x:c r="F56" s="28" t="str">
        <x:v>AHU02.RUN_HOURS</x:v>
      </x:c>
      <x:c r="G56" s="24" t="str">
        <x:v>AHU maintenance detail</x:v>
      </x:c>
      <x:c r="H56" s="24" t="str">
        <x:v>RO</x:v>
      </x:c>
      <x:c r="I56" s="24" t="str">
        <x:v>h</x:v>
      </x:c>
      <x:c r="J56" s="24" t="str">
        <x:v>n/a</x:v>
      </x:c>
      <x:c r="K56" s="24" t="str">
        <x:v>Not supplied</x:v>
      </x:c>
      <x:c r="L56" s="28" t="str">
        <x:v>CFG-2 P22</x:v>
      </x:c>
      <x:c r="M56" s="28" t="str">
        <x:v>Not required</x:v>
      </x:c>
      <x:c r="N56" s="24" t="str">
        <x:v>Software point</x:v>
      </x:c>
    </x:row>
    <x:row r="57" ht="42" customHeight="1">
      <x:c r="A57" s="27" t="str">
        <x:v>Recheck:P23</x:v>
      </x:c>
      <x:c r="B57" s="27" t="str">
        <x:v>P23</x:v>
      </x:c>
      <x:c r="C57" s="21" t="str">
        <x:v>Recheck</x:v>
      </x:c>
      <x:c r="D57" s="27" t="str">
        <x:v>AHU02.START_COUNT</x:v>
      </x:c>
      <x:c r="E57" s="21" t="str">
        <x:v>Yes</x:v>
      </x:c>
      <x:c r="F57" s="27" t="str">
        <x:v>AHU02.START_COUNT</x:v>
      </x:c>
      <x:c r="G57" s="21" t="str">
        <x:v>AHU maintenance detail</x:v>
      </x:c>
      <x:c r="H57" s="21" t="str">
        <x:v>RO</x:v>
      </x:c>
      <x:c r="I57" s="21" t="str">
        <x:v>count</x:v>
      </x:c>
      <x:c r="J57" s="21" t="str">
        <x:v>n/a</x:v>
      </x:c>
      <x:c r="K57" s="21" t="str">
        <x:v>Not supplied</x:v>
      </x:c>
      <x:c r="L57" s="27" t="str">
        <x:v>CFG-2 P23</x:v>
      </x:c>
      <x:c r="M57" s="27" t="str">
        <x:v>Not required</x:v>
      </x:c>
      <x:c r="N57" s="21" t="str">
        <x:v>Software point</x:v>
      </x:c>
    </x:row>
    <x:row r="58" ht="42" customHeight="1">
      <x:c r="A58" s="28" t="str">
        <x:v>Recheck:P24</x:v>
      </x:c>
      <x:c r="B58" s="28" t="str">
        <x:v>P24</x:v>
      </x:c>
      <x:c r="C58" s="24" t="str">
        <x:v>Recheck</x:v>
      </x:c>
      <x:c r="D58" s="28" t="str">
        <x:v>AHU02.RAH</x:v>
      </x:c>
      <x:c r="E58" s="24" t="str">
        <x:v>Yes</x:v>
      </x:c>
      <x:c r="F58" s="28" t="str">
        <x:v>AHU02.RAH</x:v>
      </x:c>
      <x:c r="G58" s="24" t="str">
        <x:v>AHU main graphic</x:v>
      </x:c>
      <x:c r="H58" s="24" t="str">
        <x:v>RO</x:v>
      </x:c>
      <x:c r="I58" s="24" t="str">
        <x:v>%RH</x:v>
      </x:c>
      <x:c r="J58" s="24" t="str">
        <x:v>n/a</x:v>
      </x:c>
      <x:c r="K58" s="24" t="str">
        <x:v>Not supplied</x:v>
      </x:c>
      <x:c r="L58" s="28" t="str">
        <x:v>CFG-2 P24</x:v>
      </x:c>
      <x:c r="M58" s="28" t="str">
        <x:v>Not required</x:v>
      </x:c>
      <x:c r="N58" s="24" t="str">
        <x:v>AI</x:v>
      </x:c>
    </x:row>
    <x:row r="59" ht="42" customHeight="1">
      <x:c r="A59" s="27" t="str">
        <x:v>Recheck:P25</x:v>
      </x:c>
      <x:c r="B59" s="27" t="str">
        <x:v>P25</x:v>
      </x:c>
      <x:c r="C59" s="21" t="str">
        <x:v>Recheck</x:v>
      </x:c>
      <x:c r="D59" s="27" t="str">
        <x:v>AHU02.RAH_SP</x:v>
      </x:c>
      <x:c r="E59" s="21" t="str">
        <x:v>Yes</x:v>
      </x:c>
      <x:c r="F59" s="27" t="str">
        <x:v>AHU02.RAH_SP</x:v>
      </x:c>
      <x:c r="G59" s="21" t="str">
        <x:v>AHU main graphic</x:v>
      </x:c>
      <x:c r="H59" s="21" t="str">
        <x:v>RW</x:v>
      </x:c>
      <x:c r="I59" s="21" t="str">
        <x:v>%RH</x:v>
      </x:c>
      <x:c r="J59" s="21" t="str">
        <x:v>n/a</x:v>
      </x:c>
      <x:c r="K59" s="21" t="str">
        <x:v>Not supplied</x:v>
      </x:c>
      <x:c r="L59" s="27" t="str">
        <x:v>CFG-2 P25</x:v>
      </x:c>
      <x:c r="M59" s="27" t="str">
        <x:v>Not required</x:v>
      </x:c>
      <x:c r="N59" s="21" t="str">
        <x:v>Software point</x:v>
      </x:c>
    </x:row>
    <x:row r="60" ht="42" customHeight="1">
      <x:c r="A60" s="28" t="str">
        <x:v>Recheck:P26</x:v>
      </x:c>
      <x:c r="B60" s="28" t="str">
        <x:v>P26</x:v>
      </x:c>
      <x:c r="C60" s="24" t="str">
        <x:v>Recheck</x:v>
      </x:c>
      <x:c r="D60" s="28" t="str">
        <x:v>AHU02.HUM_CMD</x:v>
      </x:c>
      <x:c r="E60" s="24" t="str">
        <x:v>Yes</x:v>
      </x:c>
      <x:c r="F60" s="28" t="str">
        <x:v>AHU02.HUM_CMD</x:v>
      </x:c>
      <x:c r="G60" s="24" t="str">
        <x:v>AHU main graphic</x:v>
      </x:c>
      <x:c r="H60" s="24" t="str">
        <x:v>RO</x:v>
      </x:c>
      <x:c r="I60" s="24" t="str">
        <x:v>enum</x:v>
      </x:c>
      <x:c r="J60" s="24" t="str">
        <x:v>0=OFF; 1=ON</x:v>
      </x:c>
      <x:c r="K60" s="24" t="str">
        <x:v>Not supplied</x:v>
      </x:c>
      <x:c r="L60" s="28" t="str">
        <x:v>CFG-2 P26</x:v>
      </x:c>
      <x:c r="M60" s="28" t="str">
        <x:v>Not required</x:v>
      </x:c>
      <x:c r="N60" s="24" t="str">
        <x:v>DO</x:v>
      </x:c>
    </x:row>
    <x:row r="61" ht="42" customHeight="1">
      <x:c r="A61" s="27" t="str">
        <x:v>Recheck:P27</x:v>
      </x:c>
      <x:c r="B61" s="27" t="str">
        <x:v>P27</x:v>
      </x:c>
      <x:c r="C61" s="21" t="str">
        <x:v>Recheck</x:v>
      </x:c>
      <x:c r="D61" s="27" t="str">
        <x:v>AHU02.HUM_ENABLE_CMD</x:v>
      </x:c>
      <x:c r="E61" s="21" t="str">
        <x:v>Yes</x:v>
      </x:c>
      <x:c r="F61" s="27" t="str">
        <x:v>AHU02.HUM_ENABLE_CMD</x:v>
      </x:c>
      <x:c r="G61" s="21" t="str">
        <x:v>AHU main graphic</x:v>
      </x:c>
      <x:c r="H61" s="21" t="str">
        <x:v>RW</x:v>
      </x:c>
      <x:c r="I61" s="21" t="str">
        <x:v>enum</x:v>
      </x:c>
      <x:c r="J61" s="21" t="str">
        <x:v>0=Disabled; 1=Enabled</x:v>
      </x:c>
      <x:c r="K61" s="21" t="str">
        <x:v>Not supplied</x:v>
      </x:c>
      <x:c r="L61" s="27" t="str">
        <x:v>CFG-2 P27</x:v>
      </x:c>
      <x:c r="M61" s="27" t="str">
        <x:v>Not required</x:v>
      </x:c>
      <x:c r="N61" s="21" t="str">
        <x:v>Software point</x:v>
      </x:c>
    </x:row>
    <x:row r="62" ht="42" customHeight="1">
      <x:c r="A62" s="28" t="str">
        <x:v>Recheck:P28</x:v>
      </x:c>
      <x:c r="B62" s="28" t="str">
        <x:v>P28</x:v>
      </x:c>
      <x:c r="C62" s="24" t="str">
        <x:v>Recheck</x:v>
      </x:c>
      <x:c r="D62" s="28" t="str">
        <x:v>AHU02.HUM_RUN</x:v>
      </x:c>
      <x:c r="E62" s="24" t="str">
        <x:v>Yes</x:v>
      </x:c>
      <x:c r="F62" s="28" t="str">
        <x:v>AHU02.HUM_RUN</x:v>
      </x:c>
      <x:c r="G62" s="24" t="str">
        <x:v>AHU main graphic</x:v>
      </x:c>
      <x:c r="H62" s="24" t="str">
        <x:v>RO</x:v>
      </x:c>
      <x:c r="I62" s="24" t="str">
        <x:v>enum</x:v>
      </x:c>
      <x:c r="J62" s="24" t="str">
        <x:v>0=Stopped; 1=Running</x:v>
      </x:c>
      <x:c r="K62" s="24" t="str">
        <x:v>Not supplied</x:v>
      </x:c>
      <x:c r="L62" s="28" t="str">
        <x:v>CFG-2 P28</x:v>
      </x:c>
      <x:c r="M62" s="28" t="str">
        <x:v>Not required</x:v>
      </x:c>
      <x:c r="N62" s="24" t="str">
        <x:v>DI</x:v>
      </x:c>
    </x:row>
    <x:row r="63" ht="25" customHeight="1">
      <x:c r="A63" s="2"/>
      <x:c r="B63" s="2"/>
      <x:c r="C63" s="2"/>
      <x:c r="D63" s="2"/>
      <x:c r="E63" s="2"/>
      <x:c r="F63" s="2"/>
      <x:c r="G63" s="2"/>
      <x:c r="H63" s="2"/>
      <x:c r="I63" s="2"/>
      <x:c r="J63" s="2"/>
      <x:c r="K63" s="2"/>
      <x:c r="L63" s="2"/>
      <x:c r="M63" s="2"/>
      <x:c r="N63" s="2"/>
    </x:row>
    <x:row r="64" ht="25" customHeight="1">
      <x:c r="A64" s="2"/>
      <x:c r="B64" s="2"/>
      <x:c r="C64" s="2"/>
      <x:c r="D64" s="2"/>
      <x:c r="E64" s="2"/>
      <x:c r="F64" s="2"/>
      <x:c r="G64" s="2"/>
      <x:c r="H64" s="2"/>
      <x:c r="I64" s="2"/>
      <x:c r="J64" s="2"/>
      <x:c r="K64" s="2"/>
      <x:c r="L64" s="2"/>
      <x:c r="M64" s="2"/>
      <x:c r="N64" s="2"/>
    </x:row>
  </x:sheetData>
  <x:mergeCells>
    <x:mergeCell ref="A2:N2"/>
    <x:mergeCell ref="A4:N4"/>
  </x:mergeCells>
  <x:pageMargins left="0.7" right="0.7" top="0.75" bottom="0.75" header="0.3" footer="0.3"/>
  <x:tableParts count="1">
    <x:tablePart xmlns:r="http://schemas.openxmlformats.org/officeDocument/2006/relationships" r:id="R9d72fb1edfb64d97"/>
  </x:tableParts>
</x:worksheet>
</file>

<file path=xl/worksheets/sheet7.xml><?xml version="1.0" encoding="utf-8"?>
<x:worksheet xmlns:x="http://schemas.openxmlformats.org/spreadsheetml/2006/main">
  <x:sheetViews>
    <x:sheetView showGridLines="0" workbookViewId="0"/>
  </x:sheetViews>
  <x:sheetFormatPr defaultRowHeight="15"/>
  <x:cols>
    <x:col min="1" max="1" width="29" hidden="0" customWidth="1"/>
    <x:col min="2" max="2" width="43" hidden="0" customWidth="1"/>
    <x:col min="3" max="3" width="78" hidden="0" customWidth="1"/>
    <x:col min="4" max="4" width="12" hidden="0" customWidth="1"/>
    <x:col min="5" max="5" width="17" hidden="0" customWidth="1"/>
    <x:col min="6" max="6" width="17" hidden="0" customWidth="1"/>
  </x:cols>
  <x:sheetData>
    <x:row r="1" ht="25" customHeight="1">
      <x:c r="A1" s="2"/>
      <x:c r="B1" s="2"/>
      <x:c r="C1" s="2"/>
      <x:c r="D1" s="2"/>
      <x:c r="E1" s="2"/>
      <x:c r="F1" s="2"/>
    </x:row>
    <x:row r="2" ht="37" customHeight="1">
      <x:c r="A2" s="4" t="str">
        <x:v>Source register and supplied records</x:v>
      </x:c>
      <x:c r="B2" s="4" t="str">
        <x:v>Source register and supplied records</x:v>
      </x:c>
      <x:c r="C2" s="4" t="str">
        <x:v>Source register and supplied records</x:v>
      </x:c>
      <x:c r="D2" s="4" t="str">
        <x:v>Source register and supplied records</x:v>
      </x:c>
      <x:c r="E2" s="4" t="str">
        <x:v>Source register and supplied records</x:v>
      </x:c>
      <x:c r="F2" s="4" t="str">
        <x:v>Source register and supplied records</x:v>
      </x:c>
    </x:row>
    <x:row r="3" ht="7" customHeight="1">
      <x:c r="A3" s="5"/>
      <x:c r="B3" s="5"/>
      <x:c r="C3" s="5"/>
      <x:c r="D3" s="5"/>
      <x:c r="E3" s="5"/>
      <x:c r="F3" s="5"/>
    </x:row>
    <x:row r="4" ht="30" customHeight="1">
      <x:c r="A4" s="7" t="str">
        <x:v>Fictional source documents and synthetic evidence. Original values are retained beside revised records.</x:v>
      </x:c>
      <x:c r="B4" s="7" t="str">
        <x:v>Fictional source documents and synthetic evidence. Original values are retained beside revised records.</x:v>
      </x:c>
      <x:c r="C4" s="7" t="str">
        <x:v>Fictional source documents and synthetic evidence. Original values are retained beside revised records.</x:v>
      </x:c>
      <x:c r="D4" s="7" t="str">
        <x:v>Fictional source documents and synthetic evidence. Original values are retained beside revised records.</x:v>
      </x:c>
      <x:c r="E4" s="7" t="str">
        <x:v>Fictional source documents and synthetic evidence. Original values are retained beside revised records.</x:v>
      </x:c>
      <x:c r="F4" s="7" t="str">
        <x:v>Fictional source documents and synthetic evidence. Original values are retained beside revised records.</x:v>
      </x:c>
    </x:row>
    <x:row r="5" ht="25" customHeight="1">
      <x:c r="A5" s="2"/>
      <x:c r="B5" s="2"/>
      <x:c r="C5" s="2"/>
      <x:c r="D5" s="2"/>
      <x:c r="E5" s="2"/>
      <x:c r="F5" s="2"/>
    </x:row>
    <x:row r="6" ht="44" customHeight="1">
      <x:c r="A6" s="16" t="str">
        <x:v>Document ID</x:v>
      </x:c>
      <x:c r="B6" s="17" t="str">
        <x:v>Document</x:v>
      </x:c>
      <x:c r="C6" s="17" t="str">
        <x:v>Purpose</x:v>
      </x:c>
      <x:c r="D6" s="17" t="str">
        <x:v>Revision</x:v>
      </x:c>
      <x:c r="E6" s="17" t="str">
        <x:v>Issued</x:v>
      </x:c>
      <x:c r="F6" s="18" t="str">
        <x:v>Received</x:v>
      </x:c>
    </x:row>
    <x:row r="7" ht="82" customHeight="1">
      <x:c r="A7" s="27" t="str">
        <x:v>SD-C</x:v>
      </x:c>
      <x:c r="B7" s="21" t="str">
        <x:v>AHU schematic and equipment definition</x:v>
      </x:c>
      <x:c r="C7" s="21" t="str">
        <x:v>Two-pipe constant-volume AHU with supply and return fans. Three motorized OA/EA/RA dampers on individual AO channels. No motorized SA damper. Common AHU start/stop command links SF and RF. One shared chilled/hot-water coil and one valve. Seasonal heating/cooling changeover. An ON/OFF humidifier is downstream of the coil. Return-air humidity, setpoint, enable command, output and equipment run status are displayed.</x:v>
      </x:c>
      <x:c r="D7" s="21" t="str">
        <x:v>C</x:v>
      </x:c>
      <x:c r="E7" s="25" t="d">
        <x:v>2026-10-02T00:00:00.000Z</x:v>
      </x:c>
      <x:c r="F7" s="25" t="d">
        <x:v>2026-10-07T00:00:00.000Z</x:v>
      </x:c>
    </x:row>
    <x:row r="8" ht="48" customHeight="1">
      <x:c r="A8" s="28" t="str">
        <x:v>SOO-C</x:v>
      </x:c>
      <x:c r="B8" s="24" t="str">
        <x:v>Control sequence</x:v>
      </x:c>
      <x:c r="C8" s="24" t="str">
        <x:v>Original approved requirement: SAT setpoint 24°C. Retained as history.</x:v>
      </x:c>
      <x:c r="D8" s="24" t="str">
        <x:v>C</x:v>
      </x:c>
      <x:c r="E8" s="26" t="d">
        <x:v>2026-10-01T00:00:00.000Z</x:v>
      </x:c>
      <x:c r="F8" s="26" t="d">
        <x:v>2026-10-07T00:00:00.000Z</x:v>
      </x:c>
    </x:row>
    <x:row r="9" ht="48" customHeight="1">
      <x:c r="A9" s="27" t="str">
        <x:v>PL-C</x:v>
      </x:c>
      <x:c r="B9" s="21" t="str">
        <x:v>Approved point list and display requirements</x:v>
      </x:c>
      <x:c r="C9" s="21" t="str">
        <x:v>28 registered points: 26 main-graphic and 2 maintenance displays, with bindings, access, units and state definitions.</x:v>
      </x:c>
      <x:c r="D9" s="21" t="str">
        <x:v>C</x:v>
      </x:c>
      <x:c r="E9" s="25" t="d">
        <x:v>2026-10-02T00:00:00.000Z</x:v>
      </x:c>
      <x:c r="F9" s="25" t="d">
        <x:v>2026-10-07T00:00:00.000Z</x:v>
      </x:c>
    </x:row>
    <x:row r="10" ht="48" customHeight="1">
      <x:c r="A10" s="28" t="str">
        <x:v>CFG-1</x:v>
      </x:c>
      <x:c r="B10" s="24" t="str">
        <x:v>BMS configuration and graphic-binding register</x:v>
      </x:c>
      <x:c r="C10" s="24" t="str">
        <x:v>Configuration and binding records taken from implementation; SAT setpoint 22°C. Recorded point types are included.</x:v>
      </x:c>
      <x:c r="D10" s="24" t="str">
        <x:v>1</x:v>
      </x:c>
      <x:c r="E10" s="26" t="d">
        <x:v>2026-10-06T00:00:00.000Z</x:v>
      </x:c>
      <x:c r="F10" s="26" t="d">
        <x:v>2026-10-07T00:00:00.000Z</x:v>
      </x:c>
    </x:row>
    <x:row r="11" ht="48" customHeight="1">
      <x:c r="A11" s="27" t="str">
        <x:v>GFX-1</x:v>
      </x:c>
      <x:c r="B11" s="21" t="str">
        <x:v>AHU graphic record</x:v>
      </x:c>
      <x:c r="C11" s="21" t="str">
        <x:v>Main and maintenance views; freeze-protection enabled status is absent.</x:v>
      </x:c>
      <x:c r="D11" s="21" t="str">
        <x:v>1</x:v>
      </x:c>
      <x:c r="E11" s="25" t="d">
        <x:v>2026-10-06T00:00:00.000Z</x:v>
      </x:c>
      <x:c r="F11" s="25" t="d">
        <x:v>2026-10-07T00:00:00.000Z</x:v>
      </x:c>
    </x:row>
    <x:row r="12" ht="48" customHeight="1">
      <x:c r="A12" s="28" t="str">
        <x:v>OM-B</x:v>
      </x:c>
      <x:c r="B12" s="24" t="str">
        <x:v>Operations and maintenance manual</x:v>
      </x:c>
      <x:c r="C12" s="24" t="str">
        <x:v>Records the prior operating setpoint of 24°C.</x:v>
      </x:c>
      <x:c r="D12" s="24" t="str">
        <x:v>B</x:v>
      </x:c>
      <x:c r="E12" s="26" t="d">
        <x:v>2026-10-02T00:00:00.000Z</x:v>
      </x:c>
      <x:c r="F12" s="26" t="d">
        <x:v>2026-10-07T00:00:00.000Z</x:v>
      </x:c>
    </x:row>
    <x:row r="13" ht="48" customHeight="1">
      <x:c r="A13" s="27" t="str">
        <x:v>TR-1</x:v>
      </x:c>
      <x:c r="B13" s="21" t="str">
        <x:v>Initial test record</x:v>
      </x:c>
      <x:c r="C13" s="21" t="str">
        <x:v>Mismatch alarm recorded as displayed; no event times supplied.</x:v>
      </x:c>
      <x:c r="D13" s="21" t="str">
        <x:v>1</x:v>
      </x:c>
      <x:c r="E13" s="25" t="d">
        <x:v>2026-10-06T00:00:00.000Z</x:v>
      </x:c>
      <x:c r="F13" s="25" t="d">
        <x:v>2026-10-07T00:00:00.000Z</x:v>
      </x:c>
    </x:row>
    <x:row r="14" ht="48" customHeight="1">
      <x:c r="A14" s="28" t="str">
        <x:v>CR-01</x:v>
      </x:c>
      <x:c r="B14" s="24" t="str">
        <x:v>Approved operating-change record</x:v>
      </x:c>
      <x:c r="C14" s="24" t="str">
        <x:v>Approved by the facility manager on 05 Oct: adopt 22°C as the current operating baseline.</x:v>
      </x:c>
      <x:c r="D14" s="24" t="str">
        <x:v>1</x:v>
      </x:c>
      <x:c r="E14" s="26" t="d">
        <x:v>2026-10-05T00:00:00.000Z</x:v>
      </x:c>
      <x:c r="F14" s="26" t="d">
        <x:v>2026-10-08T00:00:00.000Z</x:v>
      </x:c>
    </x:row>
    <x:row r="15" ht="48" customHeight="1">
      <x:c r="A15" s="27" t="str">
        <x:v>SOO-D</x:v>
      </x:c>
      <x:c r="B15" s="21" t="str">
        <x:v>Revised control sequence</x:v>
      </x:c>
      <x:c r="C15" s="21" t="str">
        <x:v>Incorporates CR-01 and the 22°C operating baseline; Rev C retained in history.</x:v>
      </x:c>
      <x:c r="D15" s="21" t="str">
        <x:v>D</x:v>
      </x:c>
      <x:c r="E15" s="25" t="d">
        <x:v>2026-10-09T00:00:00.000Z</x:v>
      </x:c>
      <x:c r="F15" s="25" t="d">
        <x:v>2026-10-10T00:00:00.000Z</x:v>
      </x:c>
    </x:row>
    <x:row r="16" ht="48" customHeight="1">
      <x:c r="A16" s="28" t="str">
        <x:v>CFG-2</x:v>
      </x:c>
      <x:c r="B16" s="24" t="str">
        <x:v>Revised configuration and binding register</x:v>
      </x:c>
      <x:c r="C16" s="24" t="str">
        <x:v>Corrected SAT binding and added read-only freeze status. SAT setpoint remains 22°C. Recorded point types are included.</x:v>
      </x:c>
      <x:c r="D16" s="24" t="str">
        <x:v>2</x:v>
      </x:c>
      <x:c r="E16" s="26" t="d">
        <x:v>2026-10-10T00:00:00.000Z</x:v>
      </x:c>
      <x:c r="F16" s="26" t="d">
        <x:v>2026-10-10T00:00:00.000Z</x:v>
      </x:c>
    </x:row>
    <x:row r="17" ht="48" customHeight="1">
      <x:c r="A17" s="27" t="str">
        <x:v>GFX-2</x:v>
      </x:c>
      <x:c r="B17" s="21" t="str">
        <x:v>Revised AHU graphic record</x:v>
      </x:c>
      <x:c r="C17" s="21" t="str">
        <x:v>All 28 required displays present, including read-only freeze-protection enabled status.</x:v>
      </x:c>
      <x:c r="D17" s="21" t="str">
        <x:v>2</x:v>
      </x:c>
      <x:c r="E17" s="25" t="d">
        <x:v>2026-10-10T00:00:00.000Z</x:v>
      </x:c>
      <x:c r="F17" s="25" t="d">
        <x:v>2026-10-10T00:00:00.000Z</x:v>
      </x:c>
    </x:row>
    <x:row r="18" ht="48" customHeight="1">
      <x:c r="A18" s="28" t="str">
        <x:v>OM-C</x:v>
      </x:c>
      <x:c r="B18" s="24" t="str">
        <x:v>Revised operations and maintenance manual</x:v>
      </x:c>
      <x:c r="C18" s="24" t="str">
        <x:v>Records the approved 22°C setpoint and change reference.</x:v>
      </x:c>
      <x:c r="D18" s="24" t="str">
        <x:v>C</x:v>
      </x:c>
      <x:c r="E18" s="26" t="d">
        <x:v>2026-10-09T00:00:00.000Z</x:v>
      </x:c>
      <x:c r="F18" s="26" t="d">
        <x:v>2026-10-10T00:00:00.000Z</x:v>
      </x:c>
    </x:row>
    <x:row r="19" ht="48" customHeight="1">
      <x:c r="A19" s="27" t="str">
        <x:v>TR-2</x:v>
      </x:c>
      <x:c r="B19" s="21" t="str">
        <x:v>Recheck and test record</x:v>
      </x:c>
      <x:c r="C19" s="21" t="str">
        <x:v>Evidence for graphic binding, read-only access, state mapping and alarm timing.</x:v>
      </x:c>
      <x:c r="D19" s="21" t="str">
        <x:v>2</x:v>
      </x:c>
      <x:c r="E19" s="25" t="d">
        <x:v>2026-10-10T00:00:00.000Z</x:v>
      </x:c>
      <x:c r="F19" s="25" t="d">
        <x:v>2026-10-10T00:00:00.000Z</x:v>
      </x:c>
    </x:row>
    <x:row r="20" ht="25" customHeight="1">
      <x:c r="A20" s="2"/>
      <x:c r="B20" s="2"/>
      <x:c r="C20" s="2"/>
      <x:c r="D20" s="2"/>
      <x:c r="E20" s="2"/>
      <x:c r="F20" s="2"/>
    </x:row>
    <x:row r="21" ht="30" customHeight="1">
      <x:c r="A21" s="30" t="str">
        <x:v>Records received for comparison</x:v>
      </x:c>
      <x:c r="B21" s="30" t="str">
        <x:v>Records received for comparison</x:v>
      </x:c>
      <x:c r="C21" s="30" t="str">
        <x:v>Records received for comparison</x:v>
      </x:c>
      <x:c r="D21" s="30" t="str">
        <x:v>Records received for comparison</x:v>
      </x:c>
      <x:c r="E21" s="30" t="str">
        <x:v>Records received for comparison</x:v>
      </x:c>
      <x:c r="F21" s="30" t="str">
        <x:v>Records received for comparison</x:v>
      </x:c>
    </x:row>
    <x:row r="22" ht="44" customHeight="1">
      <x:c r="A22" s="16" t="str">
        <x:v>Record reference</x:v>
      </x:c>
      <x:c r="B22" s="17" t="str">
        <x:v>Subject</x:v>
      </x:c>
      <x:c r="C22" s="17" t="str">
        <x:v>Recorded value</x:v>
      </x:c>
      <x:c r="D22" s="18" t="str">
        <x:v>Unit</x:v>
      </x:c>
      <x:c r="E22" s="2"/>
      <x:c r="F22" s="2"/>
    </x:row>
    <x:row r="23" ht="46" customHeight="1">
      <x:c r="A23" s="27" t="str">
        <x:v>SOO-C §2.1</x:v>
      </x:c>
      <x:c r="B23" s="21" t="str">
        <x:v>Initial approved SAT operating setpoint</x:v>
      </x:c>
      <x:c r="C23" s="21" t="n">
        <x:v>24</x:v>
      </x:c>
      <x:c r="D23" s="31" t="str">
        <x:v>°C</x:v>
      </x:c>
      <x:c r="E23" s="2"/>
      <x:c r="F23" s="2"/>
    </x:row>
    <x:row r="24" ht="46" customHeight="1">
      <x:c r="A24" s="28" t="str">
        <x:v>OM-B §3.2</x:v>
      </x:c>
      <x:c r="B24" s="24" t="str">
        <x:v>Initial O&amp;M SAT operating setpoint</x:v>
      </x:c>
      <x:c r="C24" s="24" t="n">
        <x:v>24</x:v>
      </x:c>
      <x:c r="D24" s="32" t="str">
        <x:v>°C</x:v>
      </x:c>
      <x:c r="E24" s="2"/>
      <x:c r="F24" s="2"/>
    </x:row>
    <x:row r="25" ht="46" customHeight="1">
      <x:c r="A25" s="27" t="str">
        <x:v>CFG-1 P07</x:v>
      </x:c>
      <x:c r="B25" s="21" t="str">
        <x:v>Implemented SAT setpoint at baseline</x:v>
      </x:c>
      <x:c r="C25" s="21" t="n">
        <x:v>22</x:v>
      </x:c>
      <x:c r="D25" s="31" t="str">
        <x:v>°C</x:v>
      </x:c>
      <x:c r="E25" s="2"/>
      <x:c r="F25" s="2"/>
    </x:row>
    <x:row r="26" ht="46" customHeight="1">
      <x:c r="A26" s="28" t="str">
        <x:v>PL-C P06 note</x:v>
      </x:c>
      <x:c r="B26" s="24" t="str">
        <x:v>SAT graphic and trend requirement</x:v>
      </x:c>
      <x:c r="C26" s="24" t="str">
        <x:v>Both the AHU graphic and SAT trend shall reference AHU02.SAT</x:v>
      </x:c>
      <x:c r="D26" s="32" t="str">
        <x:v>n/a</x:v>
      </x:c>
      <x:c r="E26" s="2"/>
      <x:c r="F26" s="2"/>
    </x:row>
    <x:row r="27" ht="46" customHeight="1">
      <x:c r="A27" s="27" t="str">
        <x:v>CFG-1 H01</x:v>
      </x:c>
      <x:c r="B27" s="21" t="str">
        <x:v>SAT trend source</x:v>
      </x:c>
      <x:c r="C27" s="21" t="str">
        <x:v>AHU02.SAT</x:v>
      </x:c>
      <x:c r="D27" s="31" t="str">
        <x:v>n/a</x:v>
      </x:c>
      <x:c r="E27" s="2"/>
      <x:c r="F27" s="2"/>
    </x:row>
    <x:row r="28" ht="46" customHeight="1">
      <x:c r="A28" s="28" t="str">
        <x:v>CFG-2 H01</x:v>
      </x:c>
      <x:c r="B28" s="24" t="str">
        <x:v>Revised SAT trend source</x:v>
      </x:c>
      <x:c r="C28" s="24" t="str">
        <x:v>AHU02.SAT</x:v>
      </x:c>
      <x:c r="D28" s="32" t="str">
        <x:v>n/a</x:v>
      </x:c>
      <x:c r="E28" s="2"/>
      <x:c r="F28" s="2"/>
    </x:row>
    <x:row r="29" ht="46" customHeight="1">
      <x:c r="A29" s="27" t="str">
        <x:v>CR-01 reason</x:v>
      </x:c>
      <x:c r="B29" s="21" t="str">
        <x:v>Reason for change</x:v>
      </x:c>
      <x:c r="C29" s="21" t="str">
        <x:v>Occupants reported that the space was too warm (2026-10-04).</x:v>
      </x:c>
      <x:c r="D29" s="31" t="str">
        <x:v>n/a</x:v>
      </x:c>
      <x:c r="E29" s="2"/>
      <x:c r="F29" s="2"/>
    </x:row>
    <x:row r="30" ht="46" customHeight="1">
      <x:c r="A30" s="28" t="str">
        <x:v>CR-01 scope</x:v>
      </x:c>
      <x:c r="B30" s="24" t="str">
        <x:v>Applicable equipment and point</x:v>
      </x:c>
      <x:c r="C30" s="24" t="str">
        <x:v>AHU-02 / AHU02.SAT_SP only</x:v>
      </x:c>
      <x:c r="D30" s="32" t="str">
        <x:v>n/a</x:v>
      </x:c>
      <x:c r="E30" s="2"/>
      <x:c r="F30" s="2"/>
    </x:row>
    <x:row r="31" ht="46" customHeight="1">
      <x:c r="A31" s="27" t="str">
        <x:v>CR-01 old</x:v>
      </x:c>
      <x:c r="B31" s="21" t="str">
        <x:v>Previous operating baseline</x:v>
      </x:c>
      <x:c r="C31" s="21" t="n">
        <x:v>24</x:v>
      </x:c>
      <x:c r="D31" s="31" t="str">
        <x:v>°C</x:v>
      </x:c>
      <x:c r="E31" s="2"/>
      <x:c r="F31" s="2"/>
    </x:row>
    <x:row r="32" ht="46" customHeight="1">
      <x:c r="A32" s="28" t="str">
        <x:v>CR-01 new</x:v>
      </x:c>
      <x:c r="B32" s="24" t="str">
        <x:v>New operating baseline</x:v>
      </x:c>
      <x:c r="C32" s="24" t="n">
        <x:v>22</x:v>
      </x:c>
      <x:c r="D32" s="32" t="str">
        <x:v>°C</x:v>
      </x:c>
      <x:c r="E32" s="2"/>
      <x:c r="F32" s="2"/>
    </x:row>
    <x:row r="33" ht="46" customHeight="1">
      <x:c r="A33" s="27" t="str">
        <x:v>CR-01 approval</x:v>
      </x:c>
      <x:c r="B33" s="21" t="str">
        <x:v>Approval</x:v>
      </x:c>
      <x:c r="C33" s="21" t="str">
        <x:v>Facility manager approved 2026-10-05 08:00</x:v>
      </x:c>
      <x:c r="D33" s="31" t="str">
        <x:v>n/a</x:v>
      </x:c>
      <x:c r="E33" s="2"/>
      <x:c r="F33" s="2"/>
    </x:row>
    <x:row r="34" ht="46" customHeight="1">
      <x:c r="A34" s="28" t="str">
        <x:v>CR-01 type</x:v>
      </x:c>
      <x:c r="B34" s="24" t="str">
        <x:v>Nature of approved change</x:v>
      </x:c>
      <x:c r="C34" s="24" t="str">
        <x:v>Adopt 22°C as the current operating baseline and update controlled documents; not a temporary override</x:v>
      </x:c>
      <x:c r="D34" s="32" t="str">
        <x:v>n/a</x:v>
      </x:c>
      <x:c r="E34" s="2"/>
      <x:c r="F34" s="2"/>
    </x:row>
    <x:row r="35" ht="46" customHeight="1">
      <x:c r="A35" s="27" t="str">
        <x:v>CR-01 implementation</x:v>
      </x:c>
      <x:c r="B35" s="21" t="str">
        <x:v>Implementation record</x:v>
      </x:c>
      <x:c r="C35" s="21" t="str">
        <x:v>Client BMS engineer implemented 2026-10-05 10:00</x:v>
      </x:c>
      <x:c r="D35" s="31" t="str">
        <x:v>n/a</x:v>
      </x:c>
      <x:c r="E35" s="2"/>
      <x:c r="F35" s="2"/>
    </x:row>
    <x:row r="36" ht="46" customHeight="1">
      <x:c r="A36" s="28" t="str">
        <x:v>CR-01 received</x:v>
      </x:c>
      <x:c r="B36" s="24" t="str">
        <x:v>Additional evidence received by reviewer</x:v>
      </x:c>
      <x:c r="C36" s="33" t="d">
        <x:v>2026-10-08T11:00:00.000Z</x:v>
      </x:c>
      <x:c r="D36" s="32" t="str">
        <x:v>n/a</x:v>
      </x:c>
      <x:c r="E36" s="2"/>
      <x:c r="F36" s="2"/>
    </x:row>
    <x:row r="37" ht="46" customHeight="1">
      <x:c r="A37" s="27" t="str">
        <x:v>SOO-D §2.1</x:v>
      </x:c>
      <x:c r="B37" s="21" t="str">
        <x:v>Revised approved SAT operating setpoint</x:v>
      </x:c>
      <x:c r="C37" s="21" t="n">
        <x:v>22</x:v>
      </x:c>
      <x:c r="D37" s="31" t="str">
        <x:v>°C</x:v>
      </x:c>
      <x:c r="E37" s="2"/>
      <x:c r="F37" s="2"/>
    </x:row>
    <x:row r="38" ht="46" customHeight="1">
      <x:c r="A38" s="28" t="str">
        <x:v>OM-C §3.2</x:v>
      </x:c>
      <x:c r="B38" s="24" t="str">
        <x:v>Revised O&amp;M SAT operating setpoint</x:v>
      </x:c>
      <x:c r="C38" s="24" t="n">
        <x:v>22</x:v>
      </x:c>
      <x:c r="D38" s="32" t="str">
        <x:v>°C</x:v>
      </x:c>
      <x:c r="E38" s="2"/>
      <x:c r="F38" s="2"/>
    </x:row>
    <x:row r="39" ht="46" customHeight="1">
      <x:c r="A39" s="27" t="str">
        <x:v>CFG-2 P07</x:v>
      </x:c>
      <x:c r="B39" s="21" t="str">
        <x:v>Implemented SAT setpoint after review</x:v>
      </x:c>
      <x:c r="C39" s="21" t="n">
        <x:v>22</x:v>
      </x:c>
      <x:c r="D39" s="31" t="str">
        <x:v>°C</x:v>
      </x:c>
      <x:c r="E39" s="2"/>
      <x:c r="F39" s="2"/>
    </x:row>
    <x:row r="40" ht="46" customHeight="1">
      <x:c r="A40" s="28" t="str">
        <x:v>TR-1 T01</x:v>
      </x:c>
      <x:c r="B40" s="24" t="str">
        <x:v>Baseline alarm narrative</x:v>
      </x:c>
      <x:c r="C40" s="24" t="str">
        <x:v>Alarm displayed; event times not recorded</x:v>
      </x:c>
      <x:c r="D40" s="32" t="str">
        <x:v>n/a</x:v>
      </x:c>
      <x:c r="E40" s="2"/>
      <x:c r="F40" s="2"/>
    </x:row>
    <x:row r="41" ht="75" customHeight="1">
      <x:c r="A41" s="27" t="str">
        <x:v>SOO-C §4.1</x:v>
      </x:c>
      <x:c r="B41" s="21" t="str">
        <x:v>Original alarm onset rule</x:v>
      </x:c>
      <x:c r="C41" s="21" t="str">
        <x:v>Common AHU command AHU02.AHU_CMD ON and run status AHU02.RUN OFF continuously for 60 s; command OFF or run ON resets timing. Alarm is a monitoring function of the common AHU command / supply-fan status pair, not an independent registered point.</x:v>
      </x:c>
      <x:c r="D41" s="31" t="str">
        <x:v>n/a</x:v>
      </x:c>
      <x:c r="E41" s="2"/>
      <x:c r="F41" s="2"/>
    </x:row>
    <x:row r="42" ht="75" customHeight="1">
      <x:c r="A42" s="28" t="str">
        <x:v>SOO-D §4.1</x:v>
      </x:c>
      <x:c r="B42" s="24" t="str">
        <x:v>Alarm onset rule (unchanged)</x:v>
      </x:c>
      <x:c r="C42" s="24" t="str">
        <x:v>Common AHU command AHU02.AHU_CMD ON and run status AHU02.RUN OFF continuously for 60 s; command OFF or run ON resets timing. Alarm is a monitoring function of the common AHU command / supply-fan status pair, not an independent registered point.</x:v>
      </x:c>
      <x:c r="D42" s="32" t="str">
        <x:v>n/a</x:v>
      </x:c>
      <x:c r="E42" s="2"/>
      <x:c r="F42" s="2"/>
    </x:row>
    <x:row r="43" ht="46" customHeight="1">
      <x:c r="A43" s="27" t="str">
        <x:v>TR-2 T01 start</x:v>
      </x:c>
      <x:c r="B43" s="21" t="str">
        <x:v>Common AHU command OFF-to-ON time and timing origin</x:v>
      </x:c>
      <x:c r="C43" s="34" t="d">
        <x:v>2026-10-10T10:00:00.000Z</x:v>
      </x:c>
      <x:c r="D43" s="31" t="str">
        <x:v>n/a</x:v>
      </x:c>
      <x:c r="E43" s="2"/>
      <x:c r="F43" s="2"/>
    </x:row>
    <x:row r="44" ht="75" customHeight="1">
      <x:c r="A44" s="28" t="str">
        <x:v>TR-2 T01 command</x:v>
      </x:c>
      <x:c r="B44" s="24" t="str">
        <x:v>AHU command before and after rising edge</x:v>
      </x:c>
      <x:c r="C44" s="24" t="str">
        <x:v>OFF from 09:59:45 until immediately before 10:00:00. OFF-to-ON at 10:00:00. ON continuously from 10:00:00 through 10:01:00.</x:v>
      </x:c>
      <x:c r="D44" s="32" t="str">
        <x:v>n/a</x:v>
      </x:c>
      <x:c r="E44" s="2"/>
      <x:c r="F44" s="2"/>
    </x:row>
    <x:row r="45" ht="46" customHeight="1">
      <x:c r="A45" s="27" t="str">
        <x:v>TR-2 T01 run</x:v>
      </x:c>
      <x:c r="B45" s="21" t="str">
        <x:v>Supply-fan run status before and during timing</x:v>
      </x:c>
      <x:c r="C45" s="21" t="str">
        <x:v>OFF continuously from 09:59:45 through 10:01:00, including the command OFF-to-ON transition at 10:00:00.</x:v>
      </x:c>
      <x:c r="D45" s="31" t="str">
        <x:v>n/a</x:v>
      </x:c>
      <x:c r="E45" s="2"/>
      <x:c r="F45" s="2"/>
    </x:row>
    <x:row r="46" ht="46" customHeight="1">
      <x:c r="A46" s="28" t="str">
        <x:v>TR-2 T01 before</x:v>
      </x:c>
      <x:c r="B46" s="24" t="str">
        <x:v>Alarm before and at onset</x:v>
      </x:c>
      <x:c r="C46" s="24" t="str">
        <x:v>OFF from 09:59:45 until immediately before 10:01:00. OFF-to-ON at 10:01:00, 60 s after the AHU command rising edge.</x:v>
      </x:c>
      <x:c r="D46" s="32" t="str">
        <x:v>n/a</x:v>
      </x:c>
      <x:c r="E46" s="2"/>
      <x:c r="F46" s="2"/>
    </x:row>
    <x:row r="47" ht="46" customHeight="1">
      <x:c r="A47" s="27" t="str">
        <x:v>TR-2 T01 onset</x:v>
      </x:c>
      <x:c r="B47" s="21" t="str">
        <x:v>Alarm OFF-to-ON time</x:v>
      </x:c>
      <x:c r="C47" s="34" t="d">
        <x:v>2026-10-10T10:01:00.000Z</x:v>
      </x:c>
      <x:c r="D47" s="31" t="str">
        <x:v>n/a</x:v>
      </x:c>
      <x:c r="E47" s="2"/>
      <x:c r="F47" s="2"/>
    </x:row>
    <x:row r="48" ht="46" customHeight="1">
      <x:c r="A48" s="28" t="str">
        <x:v>TR-2 T01 elapsed</x:v>
      </x:c>
      <x:c r="B48" s="24" t="str">
        <x:v>Elapsed time from command rising edge to alarm onset</x:v>
      </x:c>
      <x:c r="C48" s="24" t="n">
        <x:v>60</x:v>
      </x:c>
      <x:c r="D48" s="32" t="str">
        <x:v>s</x:v>
      </x:c>
      <x:c r="E48" s="2"/>
      <x:c r="F48" s="2"/>
    </x:row>
    <x:row r="49" ht="46" customHeight="1">
      <x:c r="A49" s="27" t="str">
        <x:v>TR-2 T02</x:v>
      </x:c>
      <x:c r="B49" s="21" t="str">
        <x:v>Repeated SAT display check</x:v>
      </x:c>
      <x:c r="C49" s="21" t="str">
        <x:v>2026-10-10 10:15:00; source AHU02.SAT; graphic 21.8°C; AHU02.SAT 21.8°C</x:v>
      </x:c>
      <x:c r="D49" s="31" t="str">
        <x:v>n/a</x:v>
      </x:c>
      <x:c r="E49" s="2"/>
      <x:c r="F49" s="2"/>
    </x:row>
    <x:row r="50" ht="46" customHeight="1">
      <x:c r="A50" s="28" t="str">
        <x:v>TR-2 T03</x:v>
      </x:c>
      <x:c r="B50" s="24" t="str">
        <x:v>Freeze-state live display and access</x:v>
      </x:c>
      <x:c r="C50" s="24" t="str">
        <x:v>2026-10-10 10:20:00; controller Enable=1; graphic Enabled; operator account has no write permission</x:v>
      </x:c>
      <x:c r="D50" s="32" t="str">
        <x:v>n/a</x:v>
      </x:c>
      <x:c r="E50" s="2"/>
      <x:c r="F50" s="2"/>
    </x:row>
    <x:row r="51" ht="75" customHeight="1">
      <x:c r="A51" s="27" t="str">
        <x:v>TR-2 T04</x:v>
      </x:c>
      <x:c r="B51" s="21" t="str">
        <x:v>Freeze-state mapping in test environment</x:v>
      </x:c>
      <x:c r="C51" s="21" t="str">
        <x:v>1=Enabled; 0=Disabled; unavailable/invalid quality=Unknown. Verified by client in a test environment; live protection was not disabled</x:v>
      </x:c>
      <x:c r="D51" s="31" t="str">
        <x:v>n/a</x:v>
      </x:c>
      <x:c r="E51" s="2"/>
      <x:c r="F51" s="2"/>
    </x:row>
    <x:row r="52" ht="95" customHeight="1">
      <x:c r="A52" s="28" t="str">
        <x:v>Scope exclusion</x:v>
      </x:c>
      <x:c r="B52" s="24" t="str">
        <x:v>Function-test scope</x:v>
      </x:c>
      <x:c r="C52" s="24" t="str">
        <x:v>Registered-point review covers all 28 defined points. Function review covers supplied records for M01-M03. It does not certify all control functions or site acceptance. Supply-fan reverse mismatch and timer reset were not tested. Return-fan functional testing is outside this example. Humidification performance and the fan-stop humidifier interlock were not tested in this example.</x:v>
      </x:c>
      <x:c r="D52" s="32" t="str">
        <x:v>n/a</x:v>
      </x:c>
      <x:c r="E52" s="2"/>
      <x:c r="F52" s="2"/>
    </x:row>
    <x:row r="53" ht="120" customHeight="1">
      <x:c r="A53" s="27" t="str">
        <x:v>AHU definition</x:v>
      </x:c>
      <x:c r="B53" s="21" t="str">
        <x:v>Case system</x:v>
      </x:c>
      <x:c r="C53" s="21" t="str">
        <x:v>Two-pipe constant-volume AHU with supply and return fans, one shared chilled/hot-water coil and one valve. Seasonal heating/cooling changeover. Return fan upstream of the EA/RA split. Supply-air temperature control; return-air temperature monitoring. No room-temperature point, no supply-static-pressure loop, no motorized supply-air damper. Each OA/EA/RA damper has an individual AO output. Flow balancing is outside the review. P01 / AHU02.AHU_CMD is the common AHU start/stop command. SF and RF operate together under the approved sequence. No separate return-fan start/stop point is registered. An ON/OFF humidifier downstream of the shared coil uses return-air humidity control. It has a separate enable command and equipment run-feedback input.</x:v>
      </x:c>
      <x:c r="D53" s="31" t="str">
        <x:v>n/a</x:v>
      </x:c>
      <x:c r="E53" s="2"/>
      <x:c r="F53" s="2"/>
    </x:row>
    <x:row r="54" ht="75" customHeight="1">
      <x:c r="A54" s="28" t="str">
        <x:v>SOO-C §3.1 / SD-C</x:v>
      </x:c>
      <x:c r="B54" s="24" t="str">
        <x:v>Normal economizer damper sequence</x:v>
      </x:c>
      <x:c r="C54" s="24" t="str">
        <x:v>OA and EA commands = u; RA command = 100-u, where u is the effective OA command in %. Individual AO channels. Normal occupied operation only; stop and protective overrides follow the approved sequence.</x:v>
      </x:c>
      <x:c r="D54" s="32" t="str">
        <x:v>n/a</x:v>
      </x:c>
      <x:c r="E54" s="2"/>
      <x:c r="F54" s="2"/>
    </x:row>
    <x:row r="55" ht="46" customHeight="1">
      <x:c r="A55" s="27" t="str">
        <x:v>CFG-1 / CFG-2 M03</x:v>
      </x:c>
      <x:c r="B55" s="21" t="str">
        <x:v>Configured normal damper relation</x:v>
      </x:c>
      <x:c r="C55" s="21" t="str">
        <x:v>OA=u; EA=u; RA=100-u. Individual AO channels confirmed in the supplied records.</x:v>
      </x:c>
      <x:c r="D55" s="31" t="str">
        <x:v>n/a</x:v>
      </x:c>
      <x:c r="E55" s="2"/>
      <x:c r="F55" s="2"/>
    </x:row>
    <x:row r="56" ht="75" customHeight="1">
      <x:c r="A56" s="28" t="str">
        <x:v>SOO-C §1.2 / OM-B</x:v>
      </x:c>
      <x:c r="B56" s="24" t="str">
        <x:v>Approved operating schedule</x:v>
      </x:c>
      <x:c r="C56" s="24" t="str">
        <x:v>Monday-Friday 08:00 Start, 18:00 Stop. Saturday/Sunday Stop. Exception calendar: no dates in the review period. Manual commands follow the operating-mode priority.</x:v>
      </x:c>
      <x:c r="D56" s="32" t="str">
        <x:v>n/a</x:v>
      </x:c>
      <x:c r="E56" s="2"/>
      <x:c r="F56" s="2"/>
    </x:row>
    <x:row r="57" ht="75" customHeight="1">
      <x:c r="A57" s="27" t="str">
        <x:v>CFG-1 / CFG-2 M02</x:v>
      </x:c>
      <x:c r="B57" s="21" t="str">
        <x:v>Configured operating schedule</x:v>
      </x:c>
      <x:c r="C57" s="21" t="str">
        <x:v>Monday-Friday 08:00 Start, 18:00 Stop. Saturday/Sunday Stop. Exception calendar: no dates in the review period. Applies to AHU-02 Auto mode.</x:v>
      </x:c>
      <x:c r="D57" s="31" t="str">
        <x:v>n/a</x:v>
      </x:c>
      <x:c r="E57" s="2"/>
      <x:c r="F57" s="2"/>
    </x:row>
    <x:row r="58" ht="95" customHeight="1">
      <x:c r="A58" s="28" t="str">
        <x:v>SOO-C §2.2 / SD-C</x:v>
      </x:c>
      <x:c r="B58" s="24" t="str">
        <x:v>System boundary and control basis</x:v>
      </x:c>
      <x:c r="C58" s="24" t="str">
        <x:v>Common AHU start/stop command links the CAV supply and return fans. SAT control uses one chilled/hot-water valve on one shared coil in a two-pipe system. Heating/cooling changes seasonally. Shared outdoor temperature/humidity and return temperature are displayed. Damper commands are outputs, not measured positions.</x:v>
      </x:c>
      <x:c r="D58" s="32" t="str">
        <x:v>n/a</x:v>
      </x:c>
      <x:c r="E58" s="2"/>
      <x:c r="F58" s="2"/>
    </x:row>
    <x:row r="59" ht="75" customHeight="1">
      <x:c r="A59" s="27" t="str">
        <x:v>PL-C P01 note</x:v>
      </x:c>
      <x:c r="B59" s="21" t="str">
        <x:v>Common AHU start/stop requirement</x:v>
      </x:c>
      <x:c r="C59" s="21" t="str">
        <x:v>P01 / AHU02.AHU_CMD is the common AHU start/stop command. SF and RF operate together under the approved sequence. No separate return-fan start/stop point is registered.</x:v>
      </x:c>
      <x:c r="D59" s="31" t="str">
        <x:v>n/a</x:v>
      </x:c>
      <x:c r="E59" s="2"/>
      <x:c r="F59" s="2"/>
    </x:row>
    <x:row r="60" ht="75" customHeight="1">
      <x:c r="A60" s="28" t="str">
        <x:v>PL-C P08 note</x:v>
      </x:c>
      <x:c r="B60" s="24" t="str">
        <x:v>Shared chilled/hot-water valve output</x:v>
      </x:c>
      <x:c r="C60" s="24" t="str">
        <x:v>P08 / AHU02.CHW_HW_VLV_CMD is the single chilled/hot-water valve command for the shared coil. The two-pipe system changes between heating and cooling seasonally. No separate hot-water valve command is registered.</x:v>
      </x:c>
      <x:c r="D60" s="32" t="str">
        <x:v>n/a</x:v>
      </x:c>
      <x:c r="E60" s="2"/>
      <x:c r="F60" s="2"/>
    </x:row>
    <x:row r="61" ht="75" customHeight="1">
      <x:c r="A61" s="27" t="str">
        <x:v>TR-2 T01 mode</x:v>
      </x:c>
      <x:c r="B61" s="21" t="str">
        <x:v>Manual commissioning test context</x:v>
      </x:c>
      <x:c r="C61" s="21" t="str">
        <x:v>Manual commissioning/test mode. Schedule control did not apply during this test. The common AHU command switched OFF-to-ON at 10:00:00. SF run status was recorded OFF throughout.</x:v>
      </x:c>
      <x:c r="D61" s="31" t="str">
        <x:v>n/a</x:v>
      </x:c>
      <x:c r="E61" s="2"/>
      <x:c r="F61" s="2"/>
    </x:row>
    <x:row r="62" ht="95" customHeight="1">
      <x:c r="A62" s="28" t="str">
        <x:v>PL-C P24–P28 note</x:v>
      </x:c>
      <x:c r="B62" s="24" t="str">
        <x:v>Humidity point registration and display requirements</x:v>
      </x:c>
      <x:c r="C62" s="24" t="str">
        <x:v>P24 AHU02.RAH: AI, %RH, RO. P25 AHU02.RAH_SP: software point, %RH, RW. P26 AHU02.HUM_CMD: DO, 0=OFF; 1=ON, RO. P27 AHU02.HUM_ENABLE_CMD: software point, 0=Disabled; 1=Enabled, RW. P28 AHU02.HUM_RUN: DI, 0=Stopped; 1=Running, RO. P28 is equipment run feedback, not a copy of P26. All five require main-graphic display. Screen values are illustrative, not approved numeric requirements.</x:v>
      </x:c>
      <x:c r="D62" s="32" t="str">
        <x:v>n/a</x:v>
      </x:c>
      <x:c r="E62" s="2"/>
      <x:c r="F62" s="2"/>
    </x:row>
    <x:row r="63" ht="95" customHeight="1">
      <x:c r="A63" s="27" t="str">
        <x:v>SOO-C §2.3 / SD-C</x:v>
      </x:c>
      <x:c r="B63" s="21" t="str">
        <x:v>Humidifier arrangement and control sequence</x:v>
      </x:c>
      <x:c r="C63" s="21" t="str">
        <x:v>A two-position ON/OFF humidifier is downstream of the shared chilled/hot-water coil. Return-air humidity determines demand. Output is OFF when disabled, when SF is stopped, or when there is no humidity demand. P28 is equipment run feedback, independent of output P26. The humidifier technology is not specified. This defines the sequence; it does not demonstrate humidification performance, disable behavior or the fan-stop interlock.</x:v>
      </x:c>
      <x:c r="D63" s="31" t="str">
        <x:v>n/a</x:v>
      </x:c>
      <x:c r="E63" s="2"/>
      <x:c r="F63" s="2"/>
    </x:row>
    <x:row r="64" ht="46" customHeight="1">
      <x:c r="A64" s="28" t="str">
        <x:v>PL-C P21 note</x:v>
      </x:c>
      <x:c r="B64" s="24" t="str">
        <x:v>Operating mode and heating/cooling state</x:v>
      </x:c>
      <x:c r="C64" s="24" t="str">
        <x:v>P21 selects Off / Auto / Manual for AHU operation. It is separate from the heating/cooling state shown by P16.</x:v>
      </x:c>
      <x:c r="D64" s="32" t="str">
        <x:v>n/a</x:v>
      </x:c>
      <x:c r="E64" s="2"/>
      <x:c r="F64" s="2"/>
    </x:row>
    <x:row r="65" ht="95" customHeight="1">
      <x:c r="A65" s="27" t="str">
        <x:v>CFG-1 / CFG-2 point types</x:v>
      </x:c>
      <x:c r="B65" s="21" t="str">
        <x:v>Recorded point types and review scope</x:v>
      </x:c>
      <x:c r="C65" s="21" t="str">
        <x:v>Each configuration record contains its recorded point type separately from the required type in PL-C. All 28 registered points are compared for source and type, display, binding, location, access, units and state labels. Only the three named function records M01–M03 are reviewed. The humidity sequence is a case requirement; humidifier performance, disable behavior and the fan-stop interlock are not tested.</x:v>
      </x:c>
      <x:c r="D65" s="31" t="str">
        <x:v>n/a</x:v>
      </x:c>
      <x:c r="E65" s="2"/>
      <x:c r="F65" s="2"/>
    </x:row>
    <x:row r="66" ht="25" customHeight="1">
      <x:c r="A66" s="2"/>
      <x:c r="B66" s="2"/>
      <x:c r="C66" s="2"/>
      <x:c r="D66" s="2"/>
      <x:c r="E66" s="2"/>
      <x:c r="F66" s="2"/>
    </x:row>
    <x:row r="67" ht="25" customHeight="1">
      <x:c r="A67" s="2"/>
      <x:c r="B67" s="2"/>
      <x:c r="C67" s="2"/>
      <x:c r="D67" s="2"/>
      <x:c r="E67" s="2"/>
      <x:c r="F67" s="2"/>
    </x:row>
  </x:sheetData>
  <x:mergeCells>
    <x:mergeCell ref="A2:F2"/>
    <x:mergeCell ref="A4:F4"/>
    <x:mergeCell ref="A21:F21"/>
  </x:mergeCells>
  <x:pageMargins left="0.7" right="0.7" top="0.75" bottom="0.75" header="0.3" footer="0.3"/>
  <x:tableParts count="2">
    <x:tablePart xmlns:r="http://schemas.openxmlformats.org/officeDocument/2006/relationships" r:id="R18a5a8c3188d4066"/>
    <x:tablePart xmlns:r="http://schemas.openxmlformats.org/officeDocument/2006/relationships" r:id="R3cc967576cca4bc0"/>
  </x:tableParts>
</x:worksheet>
</file>